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N:\LPreis\PDF\"/>
    </mc:Choice>
  </mc:AlternateContent>
  <workbookProtection workbookPassword="E31B" lockStructure="1"/>
  <bookViews>
    <workbookView xWindow="0" yWindow="0" windowWidth="19200" windowHeight="73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List'!$B$7:$B$2493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38" i="6" l="1"/>
  <c r="C12" i="6"/>
  <c r="C4" i="6"/>
  <c r="C13" i="6"/>
  <c r="C11" i="6"/>
  <c r="C10" i="6"/>
  <c r="C8" i="6"/>
  <c r="C7" i="6"/>
  <c r="C5" i="6"/>
  <c r="B28" i="6"/>
  <c r="G28" i="6" s="1"/>
  <c r="B33" i="6"/>
  <c r="B43"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C299" i="5"/>
  <c r="B295" i="5"/>
  <c r="B293" i="5"/>
  <c r="C286" i="5"/>
  <c r="C283" i="5"/>
  <c r="B277" i="5"/>
  <c r="B275" i="5"/>
  <c r="C274" i="5"/>
  <c r="B272" i="5"/>
  <c r="C302" i="5"/>
  <c r="B298" i="5"/>
  <c r="B294" i="5"/>
  <c r="B292" i="5"/>
  <c r="C281" i="5"/>
  <c r="B274" i="5"/>
  <c r="C273" i="5"/>
  <c r="C297" i="5"/>
  <c r="B281" i="5"/>
  <c r="C280" i="5"/>
  <c r="C279" i="5"/>
  <c r="C278" i="5"/>
  <c r="C276" i="5"/>
  <c r="B273"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G21" i="6"/>
  <c r="H21" i="6" s="1"/>
  <c r="B26" i="6"/>
  <c r="B36" i="6"/>
  <c r="B46" i="6"/>
  <c r="G46" i="6" s="1"/>
  <c r="G31" i="6"/>
  <c r="H22" i="6"/>
  <c r="D22" i="6" s="1"/>
  <c r="G47" i="6"/>
  <c r="G42" i="6"/>
  <c r="G26" i="6"/>
  <c r="H26" i="6" s="1"/>
  <c r="C26" i="6" s="1"/>
  <c r="K65" i="6"/>
  <c r="G27" i="6"/>
  <c r="G32" i="6"/>
  <c r="G43" i="6"/>
  <c r="G38" i="6"/>
  <c r="G35"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63" i="6" l="1"/>
  <c r="F41" i="6"/>
  <c r="H41" i="6" s="1"/>
  <c r="K64" i="6"/>
  <c r="H36" i="6"/>
  <c r="C36" i="6" s="1"/>
  <c r="H25" i="6"/>
  <c r="C25" i="6" s="1"/>
  <c r="V57" i="5"/>
  <c r="R57" i="5" s="1"/>
  <c r="V541" i="5"/>
  <c r="F541" i="5" s="1"/>
  <c r="V73" i="5"/>
  <c r="R73" i="5" s="1"/>
  <c r="V33" i="5"/>
  <c r="V17" i="5"/>
  <c r="V468" i="5"/>
  <c r="E468" i="5" s="1"/>
  <c r="AB8" i="5"/>
  <c r="V28" i="5"/>
  <c r="AB67" i="5"/>
  <c r="AB23" i="5"/>
  <c r="AB35" i="5"/>
  <c r="V51" i="5"/>
  <c r="AB58" i="5"/>
  <c r="V64" i="5"/>
  <c r="AB83" i="5"/>
  <c r="AB10" i="5"/>
  <c r="V12" i="5"/>
  <c r="AB20" i="5"/>
  <c r="AB42" i="5"/>
  <c r="V61" i="5"/>
  <c r="AB101" i="5"/>
  <c r="V22" i="5"/>
  <c r="V6" i="5"/>
  <c r="V13" i="5"/>
  <c r="V18" i="5"/>
  <c r="AB24" i="5"/>
  <c r="V75" i="5"/>
  <c r="V82" i="5"/>
  <c r="AB94" i="5"/>
  <c r="V111" i="5"/>
  <c r="V129" i="5"/>
  <c r="V146" i="5"/>
  <c r="V163" i="5"/>
  <c r="V195" i="5"/>
  <c r="AB149" i="5"/>
  <c r="V186" i="5"/>
  <c r="AB48" i="5"/>
  <c r="AB80" i="5"/>
  <c r="AB93" i="5"/>
  <c r="V133" i="5"/>
  <c r="AB157" i="5"/>
  <c r="V170" i="5"/>
  <c r="V93" i="5"/>
  <c r="AB113" i="5"/>
  <c r="V128" i="5"/>
  <c r="V157" i="5"/>
  <c r="AB177" i="5"/>
  <c r="V193" i="5"/>
  <c r="V223" i="5"/>
  <c r="AB241" i="5"/>
  <c r="AB266" i="5"/>
  <c r="V219" i="5"/>
  <c r="V236" i="5"/>
  <c r="V268" i="5"/>
  <c r="V191" i="5"/>
  <c r="AB218" i="5"/>
  <c r="AB257" i="5"/>
  <c r="AB277" i="5"/>
  <c r="AB193" i="5"/>
  <c r="AB214" i="5"/>
  <c r="AB248" i="5"/>
  <c r="AB267" i="5"/>
  <c r="V282" i="5"/>
  <c r="V288" i="5"/>
  <c r="G288" i="5" s="1"/>
  <c r="V317" i="5"/>
  <c r="G317" i="5" s="1"/>
  <c r="V337" i="5"/>
  <c r="G337" i="5" s="1"/>
  <c r="V14" i="5"/>
  <c r="V21" i="5"/>
  <c r="V26" i="5"/>
  <c r="AB32" i="5"/>
  <c r="V41" i="5"/>
  <c r="AB55" i="5"/>
  <c r="V63" i="5"/>
  <c r="AB76" i="5"/>
  <c r="V105" i="5"/>
  <c r="V27" i="5"/>
  <c r="AB33" i="5"/>
  <c r="AB37" i="5"/>
  <c r="V47" i="5"/>
  <c r="AB54" i="5"/>
  <c r="AB61" i="5"/>
  <c r="V70" i="5"/>
  <c r="V80" i="5"/>
  <c r="V100" i="5"/>
  <c r="AB9" i="5"/>
  <c r="AB16" i="5"/>
  <c r="V30" i="5"/>
  <c r="V37" i="5"/>
  <c r="V46" i="5"/>
  <c r="V58" i="5"/>
  <c r="V68" i="5"/>
  <c r="AB88" i="5"/>
  <c r="AB5" i="5"/>
  <c r="V8" i="5"/>
  <c r="V9" i="5"/>
  <c r="V16" i="5"/>
  <c r="V20" i="5"/>
  <c r="AB28" i="5"/>
  <c r="AB44" i="5"/>
  <c r="V60" i="5"/>
  <c r="AB81" i="5"/>
  <c r="V110" i="5"/>
  <c r="V79" i="5"/>
  <c r="AB84" i="5"/>
  <c r="V91" i="5"/>
  <c r="V97" i="5"/>
  <c r="AB102" i="5"/>
  <c r="V108" i="5"/>
  <c r="V114" i="5"/>
  <c r="V119" i="5"/>
  <c r="AB126" i="5"/>
  <c r="V131" i="5"/>
  <c r="AB137" i="5"/>
  <c r="V143" i="5"/>
  <c r="AB148" i="5"/>
  <c r="V155" i="5"/>
  <c r="V161" i="5"/>
  <c r="AB166" i="5"/>
  <c r="V172" i="5"/>
  <c r="V178" i="5"/>
  <c r="V184" i="5"/>
  <c r="AB117" i="5"/>
  <c r="AB122" i="5"/>
  <c r="V134" i="5"/>
  <c r="V142" i="5"/>
  <c r="AB152" i="5"/>
  <c r="V164" i="5"/>
  <c r="V169" i="5"/>
  <c r="AB181" i="5"/>
  <c r="V40" i="5"/>
  <c r="V44" i="5"/>
  <c r="AB52" i="5"/>
  <c r="V65" i="5"/>
  <c r="V72" i="5"/>
  <c r="V76" i="5"/>
  <c r="V88" i="5"/>
  <c r="V101" i="5"/>
  <c r="AB112" i="5"/>
  <c r="AB125" i="5"/>
  <c r="V138" i="5"/>
  <c r="V152" i="5"/>
  <c r="V165" i="5"/>
  <c r="AB176" i="5"/>
  <c r="AB91" i="5"/>
  <c r="V96" i="5"/>
  <c r="AB103" i="5"/>
  <c r="AB111" i="5"/>
  <c r="AB115" i="5"/>
  <c r="V125" i="5"/>
  <c r="AB130" i="5"/>
  <c r="AB140" i="5"/>
  <c r="AB145" i="5"/>
  <c r="AB155" i="5"/>
  <c r="V160" i="5"/>
  <c r="AB167" i="5"/>
  <c r="AB175" i="5"/>
  <c r="AB179" i="5"/>
  <c r="V194" i="5"/>
  <c r="V189" i="5"/>
  <c r="AB195" i="5"/>
  <c r="AB205" i="5"/>
  <c r="V216" i="5"/>
  <c r="V226" i="5"/>
  <c r="AB231" i="5"/>
  <c r="AB236" i="5"/>
  <c r="V248" i="5"/>
  <c r="V258" i="5"/>
  <c r="AB263" i="5"/>
  <c r="AB268" i="5"/>
  <c r="V278" i="5"/>
  <c r="G278" i="5" s="1"/>
  <c r="V297" i="5"/>
  <c r="G297" i="5" s="1"/>
  <c r="V205" i="5"/>
  <c r="AB211" i="5"/>
  <c r="AB221" i="5"/>
  <c r="AB232" i="5"/>
  <c r="AB238" i="5"/>
  <c r="V243" i="5"/>
  <c r="AB251" i="5"/>
  <c r="AB264" i="5"/>
  <c r="AB270" i="5"/>
  <c r="V281" i="5"/>
  <c r="G281" i="5" s="1"/>
  <c r="V302" i="5"/>
  <c r="G302" i="5" s="1"/>
  <c r="V196" i="5"/>
  <c r="AB200" i="5"/>
  <c r="V210" i="5"/>
  <c r="AB215" i="5"/>
  <c r="V221" i="5"/>
  <c r="V232" i="5"/>
  <c r="V242" i="5"/>
  <c r="AB247" i="5"/>
  <c r="AB252" i="5"/>
  <c r="V264" i="5"/>
  <c r="V274" i="5"/>
  <c r="G274" i="5" s="1"/>
  <c r="V286" i="5"/>
  <c r="G286" i="5" s="1"/>
  <c r="V183" i="5"/>
  <c r="AB189" i="5"/>
  <c r="V200" i="5"/>
  <c r="V212" i="5"/>
  <c r="AB216" i="5"/>
  <c r="V225" i="5"/>
  <c r="AB229" i="5"/>
  <c r="V246" i="5"/>
  <c r="V252" i="5"/>
  <c r="V257" i="5"/>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AB12" i="5"/>
  <c r="V29" i="5"/>
  <c r="V34" i="5"/>
  <c r="AB40" i="5"/>
  <c r="V48" i="5"/>
  <c r="V56" i="5"/>
  <c r="AB62" i="5"/>
  <c r="AB71" i="5"/>
  <c r="AB82" i="5"/>
  <c r="AB106" i="5"/>
  <c r="AB11" i="5"/>
  <c r="AB18" i="5"/>
  <c r="AB31" i="5"/>
  <c r="AB38" i="5"/>
  <c r="V50" i="5"/>
  <c r="AB60" i="5"/>
  <c r="AB69" i="5"/>
  <c r="V89" i="5"/>
  <c r="V15" i="5"/>
  <c r="V10" i="5"/>
  <c r="V11" i="5"/>
  <c r="AB17" i="5"/>
  <c r="AB21" i="5"/>
  <c r="V31" i="5"/>
  <c r="AB49" i="5"/>
  <c r="AB65" i="5"/>
  <c r="AB87" i="5"/>
  <c r="AB68" i="5"/>
  <c r="V81" i="5"/>
  <c r="AB86" i="5"/>
  <c r="V92" i="5"/>
  <c r="V98" i="5"/>
  <c r="V103" i="5"/>
  <c r="AB110" i="5"/>
  <c r="V115" i="5"/>
  <c r="AB121" i="5"/>
  <c r="V127" i="5"/>
  <c r="AB132" i="5"/>
  <c r="V139" i="5"/>
  <c r="V145" i="5"/>
  <c r="AB150" i="5"/>
  <c r="V156" i="5"/>
  <c r="V162" i="5"/>
  <c r="V167" i="5"/>
  <c r="AB174" i="5"/>
  <c r="V179" i="5"/>
  <c r="V190" i="5"/>
  <c r="V118" i="5"/>
  <c r="V126" i="5"/>
  <c r="AB136" i="5"/>
  <c r="V148" i="5"/>
  <c r="V153" i="5"/>
  <c r="AB165" i="5"/>
  <c r="AB170" i="5"/>
  <c r="V182" i="5"/>
  <c r="AB41" i="5"/>
  <c r="AB45" i="5"/>
  <c r="V55" i="5"/>
  <c r="V67" i="5"/>
  <c r="AB73" i="5"/>
  <c r="AB77" i="5"/>
  <c r="V90" i="5"/>
  <c r="V104" i="5"/>
  <c r="V117" i="5"/>
  <c r="AB128" i="5"/>
  <c r="AB141" i="5"/>
  <c r="V154" i="5"/>
  <c r="V168" i="5"/>
  <c r="V181" i="5"/>
  <c r="AB92" i="5"/>
  <c r="AB97" i="5"/>
  <c r="AB107" i="5"/>
  <c r="V112" i="5"/>
  <c r="AB119" i="5"/>
  <c r="AB127" i="5"/>
  <c r="AB131" i="5"/>
  <c r="V141" i="5"/>
  <c r="AB146" i="5"/>
  <c r="AB156" i="5"/>
  <c r="AB161" i="5"/>
  <c r="AB171" i="5"/>
  <c r="V176" i="5"/>
  <c r="AB183" i="5"/>
  <c r="AB197" i="5"/>
  <c r="AB190" i="5"/>
  <c r="AB201" i="5"/>
  <c r="V208" i="5"/>
  <c r="AB219" i="5"/>
  <c r="V228" i="5"/>
  <c r="V233" i="5"/>
  <c r="AB237" i="5"/>
  <c r="V254" i="5"/>
  <c r="V260" i="5"/>
  <c r="V265" i="5"/>
  <c r="AB269" i="5"/>
  <c r="V279" i="5"/>
  <c r="V201" i="5"/>
  <c r="AB206" i="5"/>
  <c r="AB217" i="5"/>
  <c r="V224" i="5"/>
  <c r="V234" i="5"/>
  <c r="AB239" i="5"/>
  <c r="AB244" i="5"/>
  <c r="V256" i="5"/>
  <c r="V266" i="5"/>
  <c r="AB271" i="5"/>
  <c r="AB292" i="5"/>
  <c r="AB187" i="5"/>
  <c r="V197" i="5"/>
  <c r="V202" i="5"/>
  <c r="V211" i="5"/>
  <c r="V217" i="5"/>
  <c r="AB222" i="5"/>
  <c r="V238" i="5"/>
  <c r="V244" i="5"/>
  <c r="V249" i="5"/>
  <c r="AB253" i="5"/>
  <c r="V270" i="5"/>
  <c r="G270" i="5" s="1"/>
  <c r="AB275" i="5"/>
  <c r="AB293" i="5"/>
  <c r="AB185" i="5"/>
  <c r="V192" i="5"/>
  <c r="AB203" i="5"/>
  <c r="V213" i="5"/>
  <c r="V218" i="5"/>
  <c r="AB226" i="5"/>
  <c r="AB233" i="5"/>
  <c r="V247" i="5"/>
  <c r="V253" i="5"/>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AB36" i="5"/>
  <c r="V49" i="5"/>
  <c r="V84" i="5"/>
  <c r="AB30" i="5"/>
  <c r="V43" i="5"/>
  <c r="V53" i="5"/>
  <c r="AB74" i="5"/>
  <c r="V38" i="5"/>
  <c r="AB90" i="5"/>
  <c r="V87" i="5"/>
  <c r="AB105" i="5"/>
  <c r="V123" i="5"/>
  <c r="V140" i="5"/>
  <c r="V151" i="5"/>
  <c r="V175" i="5"/>
  <c r="AB180" i="5"/>
  <c r="AB120" i="5"/>
  <c r="V137" i="5"/>
  <c r="V174" i="5"/>
  <c r="V62" i="5"/>
  <c r="V74" i="5"/>
  <c r="V106" i="5"/>
  <c r="V120" i="5"/>
  <c r="AB144" i="5"/>
  <c r="AB196" i="5"/>
  <c r="AB98" i="5"/>
  <c r="AB108" i="5"/>
  <c r="AB123" i="5"/>
  <c r="AB135" i="5"/>
  <c r="AB147" i="5"/>
  <c r="AB162" i="5"/>
  <c r="AB184" i="5"/>
  <c r="V203" i="5"/>
  <c r="AB209" i="5"/>
  <c r="AB234" i="5"/>
  <c r="V261" i="5"/>
  <c r="AB202" i="5"/>
  <c r="V230" i="5"/>
  <c r="AB245" i="5"/>
  <c r="V262" i="5"/>
  <c r="AB294" i="5"/>
  <c r="V206" i="5"/>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V99" i="5"/>
  <c r="AB116" i="5"/>
  <c r="AB134" i="5"/>
  <c r="AB158" i="5"/>
  <c r="AB169" i="5"/>
  <c r="V132" i="5"/>
  <c r="AB154" i="5"/>
  <c r="V166" i="5"/>
  <c r="V42" i="5"/>
  <c r="V69" i="5"/>
  <c r="AB143" i="5"/>
  <c r="AB172" i="5"/>
  <c r="AB186" i="5"/>
  <c r="V229" i="5"/>
  <c r="V255" i="5"/>
  <c r="AB273" i="5"/>
  <c r="V280" i="5"/>
  <c r="G280" i="5" s="1"/>
  <c r="V209" i="5"/>
  <c r="V241" i="5"/>
  <c r="V273" i="5"/>
  <c r="AB198" i="5"/>
  <c r="AB225" i="5"/>
  <c r="V245" i="5"/>
  <c r="V271" i="5"/>
  <c r="G271" i="5" s="1"/>
  <c r="V187" i="5"/>
  <c r="V227" i="5"/>
  <c r="V259" i="5"/>
  <c r="AB296" i="5"/>
  <c r="V7" i="5"/>
  <c r="V19" i="5"/>
  <c r="AB25" i="5"/>
  <c r="AB29" i="5"/>
  <c r="V39" i="5"/>
  <c r="AB51" i="5"/>
  <c r="AB59" i="5"/>
  <c r="AB72" i="5"/>
  <c r="V86" i="5"/>
  <c r="V25" i="5"/>
  <c r="V32" i="5"/>
  <c r="V36" i="5"/>
  <c r="AB46" i="5"/>
  <c r="AB53" i="5"/>
  <c r="V59" i="5"/>
  <c r="AB66" i="5"/>
  <c r="V77" i="5"/>
  <c r="V94" i="5"/>
  <c r="V5" i="5"/>
  <c r="AB13" i="5"/>
  <c r="V23" i="5"/>
  <c r="V35" i="5"/>
  <c r="V45" i="5"/>
  <c r="V54" i="5"/>
  <c r="V66" i="5"/>
  <c r="AB85" i="5"/>
  <c r="AB104" i="5"/>
  <c r="AB6" i="5"/>
  <c r="AB7" i="5"/>
  <c r="AB14" i="5"/>
  <c r="AB19" i="5"/>
  <c r="AB26" i="5"/>
  <c r="AB39" i="5"/>
  <c r="AB57" i="5"/>
  <c r="AB79" i="5"/>
  <c r="V102" i="5"/>
  <c r="AB78" i="5"/>
  <c r="V83" i="5"/>
  <c r="AB89" i="5"/>
  <c r="V95" i="5"/>
  <c r="AB100" i="5"/>
  <c r="V107" i="5"/>
  <c r="V113" i="5"/>
  <c r="AB118" i="5"/>
  <c r="V124" i="5"/>
  <c r="V130" i="5"/>
  <c r="V135" i="5"/>
  <c r="AB142" i="5"/>
  <c r="V147" i="5"/>
  <c r="AB153" i="5"/>
  <c r="V159" i="5"/>
  <c r="AB164" i="5"/>
  <c r="V171" i="5"/>
  <c r="V177" i="5"/>
  <c r="AB182" i="5"/>
  <c r="V116" i="5"/>
  <c r="V121" i="5"/>
  <c r="AB133" i="5"/>
  <c r="AB138" i="5"/>
  <c r="V150" i="5"/>
  <c r="V158" i="5"/>
  <c r="AB168" i="5"/>
  <c r="V180" i="5"/>
  <c r="AB191" i="5"/>
  <c r="AB43" i="5"/>
  <c r="AB50" i="5"/>
  <c r="AB63" i="5"/>
  <c r="AB70" i="5"/>
  <c r="AB75" i="5"/>
  <c r="V85" i="5"/>
  <c r="AB96" i="5"/>
  <c r="AB109" i="5"/>
  <c r="V122" i="5"/>
  <c r="V136" i="5"/>
  <c r="V149" i="5"/>
  <c r="AB160" i="5"/>
  <c r="AB173" i="5"/>
  <c r="AB199" i="5"/>
  <c r="AB95" i="5"/>
  <c r="AB99" i="5"/>
  <c r="V109" i="5"/>
  <c r="AB114" i="5"/>
  <c r="AB124" i="5"/>
  <c r="AB129" i="5"/>
  <c r="AB139" i="5"/>
  <c r="V144" i="5"/>
  <c r="AB151" i="5"/>
  <c r="AB159" i="5"/>
  <c r="AB163" i="5"/>
  <c r="V173" i="5"/>
  <c r="AB178" i="5"/>
  <c r="V185" i="5"/>
  <c r="V188" i="5"/>
  <c r="AB194" i="5"/>
  <c r="AB204" i="5"/>
  <c r="V214" i="5"/>
  <c r="AB224" i="5"/>
  <c r="AB230" i="5"/>
  <c r="V235" i="5"/>
  <c r="AB243" i="5"/>
  <c r="AB256" i="5"/>
  <c r="AB262" i="5"/>
  <c r="V267" i="5"/>
  <c r="V276" i="5"/>
  <c r="G276" i="5" s="1"/>
  <c r="AB281" i="5"/>
  <c r="V204" i="5"/>
  <c r="AB210" i="5"/>
  <c r="AB220" i="5"/>
  <c r="V231" i="5"/>
  <c r="V237" i="5"/>
  <c r="AB242" i="5"/>
  <c r="AB249" i="5"/>
  <c r="V263" i="5"/>
  <c r="V269" i="5"/>
  <c r="AB274" i="5"/>
  <c r="AB298" i="5"/>
  <c r="AB192" i="5"/>
  <c r="V199" i="5"/>
  <c r="AB207" i="5"/>
  <c r="AB213" i="5"/>
  <c r="V220" i="5"/>
  <c r="AB227" i="5"/>
  <c r="AB240" i="5"/>
  <c r="AB246" i="5"/>
  <c r="V251" i="5"/>
  <c r="AB259" i="5"/>
  <c r="AB272" i="5"/>
  <c r="V283" i="5"/>
  <c r="G283" i="5" s="1"/>
  <c r="V299" i="5"/>
  <c r="G299" i="5" s="1"/>
  <c r="AB188" i="5"/>
  <c r="V198" i="5"/>
  <c r="AB208" i="5"/>
  <c r="V215" i="5"/>
  <c r="AB223" i="5"/>
  <c r="AB228" i="5"/>
  <c r="V240" i="5"/>
  <c r="V250" i="5"/>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2" i="6" l="1"/>
  <c r="D25" i="6"/>
  <c r="C41" i="6"/>
  <c r="D41" i="6"/>
  <c r="D35" i="6"/>
  <c r="C35" i="6"/>
  <c r="I541" i="5"/>
  <c r="G541" i="5"/>
  <c r="E541" i="5"/>
  <c r="X541" i="5" s="1"/>
  <c r="H541" i="5"/>
  <c r="R541" i="5"/>
  <c r="F468" i="5"/>
  <c r="J541" i="5"/>
  <c r="R33" i="5"/>
  <c r="R17" i="5"/>
  <c r="X73" i="5"/>
  <c r="J468" i="5"/>
  <c r="H468" i="5"/>
  <c r="R468" i="5"/>
  <c r="G468" i="5"/>
  <c r="I468"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R204" i="5"/>
  <c r="R149" i="5"/>
  <c r="R177" i="5"/>
  <c r="R35" i="5"/>
  <c r="R86" i="5"/>
  <c r="R39" i="5"/>
  <c r="R19" i="5"/>
  <c r="R241" i="5"/>
  <c r="H572" i="5"/>
  <c r="J572" i="5"/>
  <c r="E572" i="5"/>
  <c r="I572" i="5"/>
  <c r="F572" i="5"/>
  <c r="R572" i="5"/>
  <c r="E522" i="5"/>
  <c r="H522" i="5"/>
  <c r="R522" i="5"/>
  <c r="J522" i="5"/>
  <c r="I522" i="5"/>
  <c r="F522" i="5"/>
  <c r="G522" i="5"/>
  <c r="F295" i="5"/>
  <c r="R295" i="5"/>
  <c r="H295" i="5"/>
  <c r="J295" i="5"/>
  <c r="I295" i="5"/>
  <c r="E295" i="5"/>
  <c r="G295" i="5"/>
  <c r="R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R240" i="5"/>
  <c r="R220" i="5"/>
  <c r="R173" i="5"/>
  <c r="R158" i="5"/>
  <c r="R77" i="5"/>
  <c r="R25" i="5"/>
  <c r="R255" i="5"/>
  <c r="R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R250" i="5"/>
  <c r="R267" i="5"/>
  <c r="R109" i="5"/>
  <c r="R136" i="5"/>
  <c r="R180" i="5"/>
  <c r="R116" i="5"/>
  <c r="R159" i="5"/>
  <c r="R124" i="5"/>
  <c r="R95" i="5"/>
  <c r="R23" i="5"/>
  <c r="R94" i="5"/>
  <c r="R7" i="5"/>
  <c r="R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R199" i="5"/>
  <c r="R231" i="5"/>
  <c r="R150" i="5"/>
  <c r="R147" i="5"/>
  <c r="R113" i="5"/>
  <c r="R5" i="5"/>
  <c r="R227" i="5"/>
  <c r="R280" i="5"/>
  <c r="H280" i="5"/>
  <c r="F280" i="5"/>
  <c r="J280" i="5"/>
  <c r="I280" i="5"/>
  <c r="E280" i="5"/>
  <c r="R132" i="5"/>
  <c r="R71" i="5"/>
  <c r="J551" i="5"/>
  <c r="F551" i="5"/>
  <c r="I551" i="5"/>
  <c r="E551" i="5"/>
  <c r="H551" i="5"/>
  <c r="R551" i="5"/>
  <c r="G551" i="5"/>
  <c r="E435" i="5"/>
  <c r="J435" i="5"/>
  <c r="R435" i="5"/>
  <c r="F435" i="5"/>
  <c r="I435" i="5"/>
  <c r="H435" i="5"/>
  <c r="G435" i="5"/>
  <c r="R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R215" i="5"/>
  <c r="I283" i="5"/>
  <c r="E283" i="5"/>
  <c r="J283" i="5"/>
  <c r="F283" i="5"/>
  <c r="R283" i="5"/>
  <c r="H283" i="5"/>
  <c r="E276" i="5"/>
  <c r="J276" i="5"/>
  <c r="R276" i="5"/>
  <c r="F276" i="5"/>
  <c r="I276" i="5"/>
  <c r="H276" i="5"/>
  <c r="R144" i="5"/>
  <c r="R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R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R269" i="5"/>
  <c r="R185" i="5"/>
  <c r="R121" i="5"/>
  <c r="R130" i="5"/>
  <c r="R83" i="5"/>
  <c r="R54" i="5"/>
  <c r="R32" i="5"/>
  <c r="H271" i="5"/>
  <c r="J271" i="5"/>
  <c r="I271" i="5"/>
  <c r="R271" i="5"/>
  <c r="F271" i="5"/>
  <c r="H533" i="5"/>
  <c r="E533" i="5"/>
  <c r="R533" i="5"/>
  <c r="F533" i="5"/>
  <c r="I533" i="5"/>
  <c r="J533" i="5"/>
  <c r="G533" i="5"/>
  <c r="E508" i="5"/>
  <c r="J508" i="5"/>
  <c r="R508" i="5"/>
  <c r="H508" i="5"/>
  <c r="I508" i="5"/>
  <c r="F508" i="5"/>
  <c r="G508" i="5"/>
  <c r="J475" i="5"/>
  <c r="R475" i="5"/>
  <c r="F475" i="5"/>
  <c r="I475" i="5"/>
  <c r="H475" i="5"/>
  <c r="E475" i="5"/>
  <c r="G475" i="5"/>
  <c r="R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R198" i="5"/>
  <c r="E299" i="5"/>
  <c r="F299" i="5"/>
  <c r="R299" i="5"/>
  <c r="H299" i="5"/>
  <c r="J299" i="5"/>
  <c r="I299" i="5"/>
  <c r="R251" i="5"/>
  <c r="R263" i="5"/>
  <c r="R237" i="5"/>
  <c r="R235" i="5"/>
  <c r="R214" i="5"/>
  <c r="R188" i="5"/>
  <c r="R122" i="5"/>
  <c r="R85" i="5"/>
  <c r="R171" i="5"/>
  <c r="R107" i="5"/>
  <c r="R102" i="5"/>
  <c r="R66" i="5"/>
  <c r="R45" i="5"/>
  <c r="R59" i="5"/>
  <c r="R36" i="5"/>
  <c r="R259" i="5"/>
  <c r="R187" i="5"/>
  <c r="R245" i="5"/>
  <c r="G273" i="5"/>
  <c r="R209" i="5"/>
  <c r="R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R137" i="5"/>
  <c r="R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R207" i="5"/>
  <c r="R239" i="5"/>
  <c r="R261" i="5"/>
  <c r="R203" i="5"/>
  <c r="R174" i="5"/>
  <c r="R151" i="5"/>
  <c r="R53" i="5"/>
  <c r="R43" i="5"/>
  <c r="R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R192" i="5"/>
  <c r="R249" i="5"/>
  <c r="R238" i="5"/>
  <c r="R256" i="5"/>
  <c r="R234" i="5"/>
  <c r="E279" i="5"/>
  <c r="J279" i="5"/>
  <c r="I279" i="5"/>
  <c r="F279" i="5"/>
  <c r="R279" i="5"/>
  <c r="H279" i="5"/>
  <c r="R260" i="5"/>
  <c r="R154" i="5"/>
  <c r="R117" i="5"/>
  <c r="R190" i="5"/>
  <c r="R139" i="5"/>
  <c r="R89" i="5"/>
  <c r="R50" i="5"/>
  <c r="R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R225" i="5"/>
  <c r="R183" i="5"/>
  <c r="R264" i="5"/>
  <c r="R242" i="5"/>
  <c r="R221" i="5"/>
  <c r="I281" i="5"/>
  <c r="E281" i="5"/>
  <c r="R281" i="5"/>
  <c r="J281" i="5"/>
  <c r="H281" i="5"/>
  <c r="F281" i="5"/>
  <c r="R152" i="5"/>
  <c r="R76" i="5"/>
  <c r="R142" i="5"/>
  <c r="R184" i="5"/>
  <c r="R119" i="5"/>
  <c r="R16" i="5"/>
  <c r="R100" i="5"/>
  <c r="R105" i="5"/>
  <c r="R268" i="5"/>
  <c r="R219" i="5"/>
  <c r="R223" i="5"/>
  <c r="R195" i="5"/>
  <c r="R13" i="5"/>
  <c r="R22" i="5"/>
  <c r="R64" i="5"/>
  <c r="R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R106" i="5"/>
  <c r="R62" i="5"/>
  <c r="R123" i="5"/>
  <c r="R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R247" i="5"/>
  <c r="R218" i="5"/>
  <c r="R217" i="5"/>
  <c r="R202" i="5"/>
  <c r="R228" i="5"/>
  <c r="R176" i="5"/>
  <c r="R168" i="5"/>
  <c r="R55" i="5"/>
  <c r="R148" i="5"/>
  <c r="R156" i="5"/>
  <c r="R127" i="5"/>
  <c r="R92" i="5"/>
  <c r="R31" i="5"/>
  <c r="R11" i="5"/>
  <c r="R56" i="5"/>
  <c r="R34" i="5"/>
  <c r="R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R252" i="5"/>
  <c r="R212" i="5"/>
  <c r="R210" i="5"/>
  <c r="J302" i="5"/>
  <c r="R302" i="5"/>
  <c r="E302" i="5"/>
  <c r="H302" i="5"/>
  <c r="I302" i="5"/>
  <c r="F302" i="5"/>
  <c r="R205" i="5"/>
  <c r="E278" i="5"/>
  <c r="H278" i="5"/>
  <c r="J278" i="5"/>
  <c r="F278" i="5"/>
  <c r="I278" i="5"/>
  <c r="R278" i="5"/>
  <c r="R258" i="5"/>
  <c r="R216" i="5"/>
  <c r="R189" i="5"/>
  <c r="R125" i="5"/>
  <c r="R96" i="5"/>
  <c r="R165" i="5"/>
  <c r="R72" i="5"/>
  <c r="R155" i="5"/>
  <c r="R91" i="5"/>
  <c r="R110" i="5"/>
  <c r="R60" i="5"/>
  <c r="R9" i="5"/>
  <c r="R58" i="5"/>
  <c r="R37" i="5"/>
  <c r="R70" i="5"/>
  <c r="R21" i="5"/>
  <c r="H337" i="5"/>
  <c r="I337" i="5"/>
  <c r="F337" i="5"/>
  <c r="E337" i="5"/>
  <c r="J337" i="5"/>
  <c r="R337" i="5"/>
  <c r="J288" i="5"/>
  <c r="I288" i="5"/>
  <c r="R288" i="5"/>
  <c r="E288" i="5"/>
  <c r="F288" i="5"/>
  <c r="H288" i="5"/>
  <c r="R146" i="5"/>
  <c r="R111" i="5"/>
  <c r="R75" i="5"/>
  <c r="R61" i="5"/>
  <c r="R12" i="5"/>
  <c r="E449" i="5"/>
  <c r="H449" i="5"/>
  <c r="R449" i="5"/>
  <c r="F449" i="5"/>
  <c r="I449" i="5"/>
  <c r="J449" i="5"/>
  <c r="E420" i="5"/>
  <c r="H420" i="5"/>
  <c r="R420" i="5"/>
  <c r="J420" i="5"/>
  <c r="I420" i="5"/>
  <c r="F420" i="5"/>
  <c r="R355" i="5"/>
  <c r="F355" i="5"/>
  <c r="I355" i="5"/>
  <c r="J355" i="5"/>
  <c r="E355" i="5"/>
  <c r="H355" i="5"/>
  <c r="I334" i="5"/>
  <c r="J334" i="5"/>
  <c r="E334" i="5"/>
  <c r="F334" i="5"/>
  <c r="R334" i="5"/>
  <c r="H334" i="5"/>
  <c r="R244" i="5"/>
  <c r="R266" i="5"/>
  <c r="R224" i="5"/>
  <c r="R201" i="5"/>
  <c r="R265" i="5"/>
  <c r="R254" i="5"/>
  <c r="R208" i="5"/>
  <c r="R181" i="5"/>
  <c r="R90" i="5"/>
  <c r="R67" i="5"/>
  <c r="R182" i="5"/>
  <c r="R153" i="5"/>
  <c r="R118" i="5"/>
  <c r="R179" i="5"/>
  <c r="R162" i="5"/>
  <c r="R145" i="5"/>
  <c r="R115" i="5"/>
  <c r="R98" i="5"/>
  <c r="R81" i="5"/>
  <c r="R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R232" i="5"/>
  <c r="R196" i="5"/>
  <c r="R88" i="5"/>
  <c r="R40" i="5"/>
  <c r="R164" i="5"/>
  <c r="R172" i="5"/>
  <c r="R143" i="5"/>
  <c r="R108" i="5"/>
  <c r="R79" i="5"/>
  <c r="R20" i="5"/>
  <c r="R8" i="5"/>
  <c r="R47" i="5"/>
  <c r="R27" i="5"/>
  <c r="R63" i="5"/>
  <c r="R41" i="5"/>
  <c r="E282" i="5"/>
  <c r="H282" i="5"/>
  <c r="J282" i="5"/>
  <c r="F282" i="5"/>
  <c r="I282" i="5"/>
  <c r="R282" i="5"/>
  <c r="R191" i="5"/>
  <c r="R236" i="5"/>
  <c r="R193" i="5"/>
  <c r="R128" i="5"/>
  <c r="R170" i="5"/>
  <c r="R163" i="5"/>
  <c r="R18" i="5"/>
  <c r="R6" i="5"/>
  <c r="R51" i="5"/>
  <c r="R42" i="5"/>
  <c r="R166"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R230" i="5"/>
  <c r="R74" i="5"/>
  <c r="R140" i="5"/>
  <c r="R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R253" i="5"/>
  <c r="R213" i="5"/>
  <c r="R270" i="5"/>
  <c r="I270" i="5"/>
  <c r="H270" i="5"/>
  <c r="F270" i="5"/>
  <c r="J270" i="5"/>
  <c r="T270" i="5" s="1"/>
  <c r="E270" i="5"/>
  <c r="R211" i="5"/>
  <c r="R197" i="5"/>
  <c r="G279" i="5"/>
  <c r="R233" i="5"/>
  <c r="R141" i="5"/>
  <c r="R112" i="5"/>
  <c r="R104" i="5"/>
  <c r="R126" i="5"/>
  <c r="R167" i="5"/>
  <c r="R103" i="5"/>
  <c r="R10" i="5"/>
  <c r="R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R257" i="5"/>
  <c r="R246" i="5"/>
  <c r="R200" i="5"/>
  <c r="J286" i="5"/>
  <c r="R286" i="5"/>
  <c r="E286" i="5"/>
  <c r="H286" i="5"/>
  <c r="I286" i="5"/>
  <c r="F286" i="5"/>
  <c r="R243" i="5"/>
  <c r="H297" i="5"/>
  <c r="F297" i="5"/>
  <c r="I297" i="5"/>
  <c r="E297" i="5"/>
  <c r="R297" i="5"/>
  <c r="J297" i="5"/>
  <c r="R248" i="5"/>
  <c r="R226" i="5"/>
  <c r="R194" i="5"/>
  <c r="R160" i="5"/>
  <c r="R138" i="5"/>
  <c r="R101" i="5"/>
  <c r="R65" i="5"/>
  <c r="R44" i="5"/>
  <c r="R169" i="5"/>
  <c r="R134" i="5"/>
  <c r="R178" i="5"/>
  <c r="R161" i="5"/>
  <c r="R131" i="5"/>
  <c r="R114" i="5"/>
  <c r="R97" i="5"/>
  <c r="R68" i="5"/>
  <c r="R46" i="5"/>
  <c r="R30" i="5"/>
  <c r="R80" i="5"/>
  <c r="R26" i="5"/>
  <c r="R14" i="5"/>
  <c r="F317" i="5"/>
  <c r="I317" i="5"/>
  <c r="H317" i="5"/>
  <c r="E317" i="5"/>
  <c r="J317" i="5"/>
  <c r="R317" i="5"/>
  <c r="G282" i="5"/>
  <c r="R157" i="5"/>
  <c r="R93" i="5"/>
  <c r="R133" i="5"/>
  <c r="R186" i="5"/>
  <c r="R129" i="5"/>
  <c r="R82"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T360"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468" i="5"/>
  <c r="T350" i="5"/>
  <c r="T457" i="5"/>
  <c r="T524" i="5"/>
  <c r="T536" i="5"/>
  <c r="T450" i="5"/>
  <c r="T471" i="5"/>
  <c r="T404" i="5"/>
  <c r="T272" i="5"/>
  <c r="T574" i="5"/>
  <c r="T412" i="5"/>
  <c r="T562" i="5"/>
  <c r="T283" i="5"/>
  <c r="T577" i="5"/>
  <c r="T475" i="5"/>
  <c r="T548" i="5"/>
  <c r="T539" i="5"/>
  <c r="T463" i="5"/>
  <c r="T481" i="5"/>
  <c r="T451" i="5"/>
  <c r="T382" i="5"/>
  <c r="T517" i="5"/>
  <c r="T528" i="5"/>
  <c r="T415" i="5"/>
  <c r="T349" i="5"/>
  <c r="T532" i="5"/>
  <c r="T516" i="5"/>
  <c r="T470" i="5"/>
  <c r="T448" i="5"/>
  <c r="T354" i="5"/>
  <c r="T374" i="5"/>
  <c r="T515" i="5"/>
  <c r="T491" i="5"/>
  <c r="T535" i="5"/>
  <c r="T472" i="5"/>
  <c r="T357" i="5"/>
  <c r="T168" i="5"/>
  <c r="T403" i="5"/>
  <c r="T538" i="5"/>
  <c r="T278" i="5"/>
  <c r="T182" i="5"/>
  <c r="T542" i="5"/>
  <c r="T509" i="5"/>
  <c r="T579" i="5"/>
  <c r="T351" i="5"/>
  <c r="T537" i="5"/>
  <c r="T489" i="5"/>
  <c r="T409" i="5"/>
  <c r="T380" i="5"/>
  <c r="T534" i="5"/>
  <c r="T464" i="5"/>
  <c r="T378" i="5"/>
  <c r="T352" i="5"/>
  <c r="T365" i="5"/>
  <c r="T571" i="5"/>
  <c r="T436" i="5"/>
  <c r="T413" i="5"/>
  <c r="T462" i="5"/>
  <c r="T376" i="5"/>
  <c r="T406" i="5"/>
  <c r="T447" i="5"/>
  <c r="T565" i="5"/>
  <c r="T455" i="5"/>
  <c r="T558" i="5"/>
  <c r="T442" i="5"/>
  <c r="T353" i="5"/>
  <c r="T499" i="5"/>
  <c r="T381" i="5"/>
  <c r="T512" i="5"/>
  <c r="T458" i="5"/>
  <c r="T552" i="5"/>
  <c r="T483" i="5"/>
  <c r="T423" i="5"/>
  <c r="T488" i="5"/>
  <c r="T561" i="5"/>
  <c r="T553" i="5"/>
  <c r="T556" i="5"/>
  <c r="T527" i="5"/>
  <c r="T545" i="5"/>
  <c r="T446" i="5"/>
  <c r="T276" i="5"/>
  <c r="T511" i="5"/>
  <c r="T277" i="5"/>
  <c r="T480" i="5"/>
  <c r="T269" i="5"/>
  <c r="T32" i="5"/>
  <c r="T271" i="5"/>
  <c r="T437" i="5"/>
  <c r="T501" i="5"/>
  <c r="T371" i="5"/>
  <c r="T521" i="5"/>
  <c r="T367" i="5"/>
  <c r="T368" i="5"/>
  <c r="T503" i="5"/>
  <c r="T575" i="5"/>
  <c r="T395" i="5"/>
  <c r="T375" i="5"/>
  <c r="T119" i="5"/>
  <c r="T547" i="5"/>
  <c r="T560" i="5"/>
  <c r="T544" i="5"/>
  <c r="T444" i="5"/>
  <c r="T394" i="5"/>
  <c r="T34" i="5"/>
  <c r="T432" i="5"/>
  <c r="T485" i="5"/>
  <c r="T402" i="5"/>
  <c r="T356" i="5"/>
  <c r="T449" i="5"/>
  <c r="T493" i="5"/>
  <c r="T443" i="5"/>
  <c r="T478" i="5"/>
  <c r="T364" i="5"/>
  <c r="T275" i="5"/>
  <c r="T550" i="5"/>
  <c r="T546" i="5"/>
  <c r="T498" i="5"/>
  <c r="T549" i="5"/>
  <c r="T529" i="5"/>
  <c r="T377" i="5"/>
  <c r="T384" i="5"/>
  <c r="T240" i="5"/>
  <c r="S541" i="5"/>
  <c r="T554" i="5"/>
  <c r="T585" i="5"/>
  <c r="T454" i="5"/>
  <c r="T439" i="5"/>
  <c r="T359" i="5"/>
  <c r="T250" i="5"/>
  <c r="T495" i="5"/>
  <c r="T564" i="5"/>
  <c r="T393" i="5"/>
  <c r="T424" i="5"/>
  <c r="T555" i="5"/>
  <c r="T410" i="5"/>
  <c r="T573" i="5"/>
  <c r="T508" i="5"/>
  <c r="T531" i="5"/>
  <c r="T467" i="5"/>
  <c r="T389" i="5"/>
  <c r="T369" i="5"/>
  <c r="T584" i="5"/>
  <c r="T500" i="5"/>
  <c r="T434" i="5"/>
  <c r="T419" i="5"/>
  <c r="T422" i="5"/>
  <c r="T358" i="5"/>
  <c r="T563" i="5"/>
  <c r="T460" i="5"/>
  <c r="T519" i="5"/>
  <c r="T526" i="5"/>
  <c r="T502" i="5"/>
  <c r="T510" i="5"/>
  <c r="T479" i="5"/>
  <c r="T372" i="5"/>
  <c r="T504" i="5"/>
  <c r="T438" i="5"/>
  <c r="T407" i="5"/>
  <c r="T281" i="5"/>
  <c r="T580" i="5"/>
  <c r="T416" i="5"/>
  <c r="T461" i="5"/>
  <c r="T456" i="5"/>
  <c r="T465" i="5"/>
  <c r="T425" i="5"/>
  <c r="T490" i="5"/>
  <c r="T383" i="5"/>
  <c r="T569" i="5"/>
  <c r="T379" i="5"/>
  <c r="T391" i="5"/>
  <c r="T505" i="5"/>
  <c r="T274" i="5"/>
  <c r="T530" i="5"/>
  <c r="T496" i="5"/>
  <c r="T578" i="5"/>
  <c r="T507" i="5"/>
  <c r="T469" i="5"/>
  <c r="T433" i="5"/>
  <c r="T418" i="5"/>
  <c r="T370" i="5"/>
  <c r="T452" i="5"/>
  <c r="T386" i="5"/>
  <c r="T417" i="5"/>
  <c r="T428" i="5"/>
  <c r="T398" i="5"/>
  <c r="T572" i="5"/>
  <c r="T522" i="5"/>
  <c r="T518" i="5"/>
  <c r="T567" i="5"/>
  <c r="T255" i="5"/>
  <c r="T385" i="5"/>
  <c r="T441" i="5"/>
  <c r="T421" i="5"/>
  <c r="T473" i="5"/>
  <c r="T430" i="5"/>
  <c r="T366" i="5"/>
  <c r="T525" i="5"/>
  <c r="T280" i="5"/>
  <c r="T551" i="5"/>
  <c r="T435" i="5"/>
  <c r="T568" i="5"/>
  <c r="S468" i="5"/>
  <c r="T273" i="5"/>
  <c r="T426" i="5"/>
  <c r="T533" i="5"/>
  <c r="T405" i="5"/>
  <c r="T557" i="5"/>
  <c r="T429" i="5"/>
  <c r="T411" i="5"/>
  <c r="T388" i="5"/>
  <c r="T476" i="5"/>
  <c r="T440" i="5"/>
  <c r="T427" i="5"/>
  <c r="T540" i="5"/>
  <c r="T487" i="5"/>
  <c r="T373" i="5"/>
  <c r="T408" i="5"/>
  <c r="T482" i="5"/>
  <c r="T279" i="5"/>
  <c r="T453" i="5"/>
  <c r="T268" i="5"/>
  <c r="T492" i="5"/>
  <c r="T477" i="5"/>
  <c r="T543" i="5"/>
  <c r="T576" i="5"/>
  <c r="T459" i="5"/>
  <c r="T523" i="5"/>
  <c r="T431" i="5"/>
  <c r="T392" i="5"/>
  <c r="T390" i="5"/>
  <c r="T355" i="5"/>
  <c r="T265" i="5"/>
  <c r="T494" i="5"/>
  <c r="T41" i="5"/>
  <c r="T282" i="5"/>
  <c r="T566" i="5"/>
  <c r="T506" i="5"/>
  <c r="T520" i="5"/>
  <c r="T486" i="5"/>
  <c r="T387" i="5"/>
  <c r="T114" i="5"/>
  <c r="T6" i="5"/>
  <c r="T5" i="5"/>
  <c r="T228" i="5"/>
  <c r="T212" i="5"/>
  <c r="T224" i="5"/>
  <c r="T239" i="5"/>
  <c r="T169" i="5"/>
  <c r="T101" i="5"/>
  <c r="T103" i="5"/>
  <c r="T82" i="5"/>
  <c r="T15" i="5"/>
  <c r="T24" i="5"/>
  <c r="T150" i="5"/>
  <c r="T55" i="5"/>
  <c r="T165" i="5"/>
  <c r="T184" i="5"/>
  <c r="T75" i="5"/>
  <c r="T261" i="5"/>
  <c r="T248" i="5"/>
  <c r="T143" i="5"/>
  <c r="T206" i="5"/>
  <c r="T74" i="5"/>
  <c r="T171" i="5"/>
  <c r="T223" i="5"/>
  <c r="T192" i="5"/>
  <c r="S73" i="5"/>
  <c r="T22" i="5"/>
  <c r="T84" i="5"/>
  <c r="T98" i="5"/>
  <c r="T45" i="5"/>
  <c r="T88" i="5"/>
  <c r="T89" i="5"/>
  <c r="T213" i="5"/>
  <c r="T257" i="5"/>
  <c r="T215" i="5"/>
  <c r="T263" i="5"/>
  <c r="T102" i="5"/>
  <c r="T259" i="5"/>
  <c r="T71" i="5"/>
  <c r="T49" i="5"/>
  <c r="T249" i="5"/>
  <c r="T14" i="5"/>
  <c r="T61" i="5"/>
  <c r="T164" i="5"/>
  <c r="T81" i="5"/>
  <c r="T197" i="5"/>
  <c r="T222" i="5"/>
  <c r="T155" i="5"/>
  <c r="T226" i="5"/>
  <c r="T176" i="5"/>
  <c r="T142" i="5"/>
  <c r="T63" i="5"/>
  <c r="T156" i="5"/>
  <c r="T227" i="5"/>
  <c r="T127" i="5"/>
  <c r="T121" i="5"/>
  <c r="T47" i="5"/>
  <c r="T242" i="5"/>
  <c r="T236" i="5"/>
  <c r="T237" i="5"/>
  <c r="T166" i="5"/>
  <c r="T29" i="5"/>
  <c r="T218" i="5"/>
  <c r="T231" i="5"/>
  <c r="T13" i="5"/>
  <c r="T254" i="5"/>
  <c r="T135" i="5"/>
  <c r="T18" i="5"/>
  <c r="T104" i="5"/>
  <c r="T64" i="5"/>
  <c r="T144" i="5"/>
  <c r="T92" i="5"/>
  <c r="T31" i="5"/>
  <c r="T27" i="5"/>
  <c r="T11" i="5"/>
  <c r="T36" i="5"/>
  <c r="T214" i="5"/>
  <c r="T117" i="5"/>
  <c r="T186" i="5"/>
  <c r="T17" i="5"/>
  <c r="T85" i="5"/>
  <c r="T190" i="5"/>
  <c r="T54" i="5"/>
  <c r="T111" i="5"/>
  <c r="T205" i="5"/>
  <c r="T7" i="5"/>
  <c r="T99" i="5"/>
  <c r="T62" i="5"/>
  <c r="T244" i="5"/>
  <c r="S57" i="5"/>
  <c r="T105" i="5"/>
  <c r="T191" i="5"/>
  <c r="T233" i="5"/>
  <c r="T225" i="5"/>
  <c r="T147" i="5"/>
  <c r="T21" i="5"/>
  <c r="T48" i="5"/>
  <c r="T60" i="5"/>
  <c r="T189" i="5"/>
  <c r="T256" i="5"/>
  <c r="T158" i="5"/>
  <c r="T95" i="5"/>
  <c r="T183" i="5"/>
  <c r="T97" i="5"/>
  <c r="T243" i="5"/>
  <c r="T115" i="5"/>
  <c r="T172" i="5"/>
  <c r="T66" i="5"/>
  <c r="T264" i="5"/>
  <c r="T196" i="5"/>
  <c r="T138" i="5"/>
  <c r="T235" i="5"/>
  <c r="T148" i="5"/>
  <c r="T151" i="5"/>
  <c r="T145" i="5"/>
  <c r="T160" i="5"/>
  <c r="T28" i="5"/>
  <c r="T50" i="5"/>
  <c r="T80" i="5"/>
  <c r="T221" i="5"/>
  <c r="T140" i="5"/>
  <c r="T100" i="5"/>
  <c r="T134" i="5"/>
  <c r="T110" i="5"/>
  <c r="T204" i="5"/>
  <c r="T251" i="5"/>
  <c r="T79" i="5"/>
  <c r="T128" i="5"/>
  <c r="T9" i="5"/>
  <c r="T67" i="5"/>
  <c r="T58" i="5"/>
  <c r="T234" i="5"/>
  <c r="T137" i="5"/>
  <c r="T38" i="5"/>
  <c r="T132" i="5"/>
  <c r="T116" i="5"/>
  <c r="T258" i="5"/>
  <c r="T72" i="5"/>
  <c r="T108" i="5"/>
  <c r="T40" i="5"/>
  <c r="T179" i="5"/>
  <c r="T112" i="5"/>
  <c r="T19" i="5"/>
  <c r="T70" i="5"/>
  <c r="T141" i="5"/>
  <c r="T241" i="5"/>
  <c r="T175" i="5"/>
  <c r="T83" i="5"/>
  <c r="S17" i="5"/>
  <c r="T161" i="5"/>
  <c r="T53" i="5"/>
  <c r="T238" i="5"/>
  <c r="T106" i="5"/>
  <c r="T42" i="5"/>
  <c r="T159" i="5"/>
  <c r="T59" i="5"/>
  <c r="T125" i="5"/>
  <c r="T93" i="5"/>
  <c r="T245" i="5"/>
  <c r="T193" i="5"/>
  <c r="T149" i="5"/>
  <c r="T246" i="5"/>
  <c r="T65" i="5"/>
  <c r="T200" i="5"/>
  <c r="T199" i="5"/>
  <c r="T209" i="5"/>
  <c r="T122" i="5"/>
  <c r="T76" i="5"/>
  <c r="T203" i="5"/>
  <c r="T87" i="5"/>
  <c r="T220" i="5"/>
  <c r="T152" i="5"/>
  <c r="T44" i="5"/>
  <c r="T52" i="5"/>
  <c r="T91" i="5"/>
  <c r="T131" i="5"/>
  <c r="T180" i="5"/>
  <c r="T33" i="5"/>
  <c r="T185" i="5"/>
  <c r="T69" i="5"/>
  <c r="T187" i="5"/>
  <c r="T73" i="5"/>
  <c r="T154" i="5"/>
  <c r="T178" i="5"/>
  <c r="T124" i="5"/>
  <c r="T217" i="5"/>
  <c r="T46" i="5"/>
  <c r="T37" i="5"/>
  <c r="T123" i="5"/>
  <c r="T195" i="5"/>
  <c r="T174" i="5"/>
  <c r="T253" i="5"/>
  <c r="T194" i="5"/>
  <c r="T118" i="5"/>
  <c r="T109" i="5"/>
  <c r="T10" i="5"/>
  <c r="T167" i="5"/>
  <c r="T247" i="5"/>
  <c r="T12" i="5"/>
  <c r="T207" i="5"/>
  <c r="T107" i="5"/>
  <c r="T266" i="5"/>
  <c r="T201" i="5"/>
  <c r="T162" i="5"/>
  <c r="T129" i="5"/>
  <c r="T211" i="5"/>
  <c r="T170" i="5"/>
  <c r="T153" i="5"/>
  <c r="T96" i="5"/>
  <c r="T78" i="5"/>
  <c r="T230" i="5"/>
  <c r="T126" i="5"/>
  <c r="T23" i="5"/>
  <c r="T163" i="5"/>
  <c r="S33" i="5"/>
  <c r="T252" i="5"/>
  <c r="T113" i="5"/>
  <c r="T210" i="5"/>
  <c r="T146" i="5"/>
  <c r="T181" i="5"/>
  <c r="T216" i="5"/>
  <c r="T188" i="5"/>
  <c r="T136" i="5"/>
  <c r="T8" i="5"/>
  <c r="T86" i="5"/>
  <c r="T130" i="5"/>
  <c r="T25" i="5"/>
  <c r="T39" i="5"/>
  <c r="T26" i="5"/>
  <c r="T262" i="5"/>
  <c r="T208" i="5"/>
  <c r="T219" i="5"/>
  <c r="T90" i="5"/>
  <c r="T260" i="5"/>
  <c r="T267" i="5"/>
  <c r="T77" i="5"/>
  <c r="T229" i="5"/>
  <c r="T120" i="5"/>
  <c r="T139" i="5"/>
  <c r="T232" i="5"/>
  <c r="T20" i="5"/>
  <c r="T30" i="5"/>
  <c r="T198" i="5"/>
  <c r="T202" i="5"/>
  <c r="T177" i="5"/>
  <c r="T68" i="5"/>
  <c r="T173" i="5"/>
  <c r="T133" i="5"/>
  <c r="T56" i="5"/>
  <c r="T51" i="5"/>
  <c r="T157" i="5"/>
  <c r="T57" i="5"/>
  <c r="T35" i="5"/>
  <c r="T94" i="5"/>
  <c r="T43" i="5"/>
  <c r="T16" i="5"/>
  <c r="C64" i="6" l="1"/>
  <c r="C62" i="6"/>
  <c r="H65" i="6"/>
  <c r="D65" i="6" s="1"/>
  <c r="C65"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367" i="5"/>
  <c r="S283" i="5"/>
  <c r="S473" i="5"/>
  <c r="S279" i="5"/>
  <c r="S503" i="5"/>
  <c r="S551" i="5"/>
  <c r="S417" i="5"/>
  <c r="S508" i="5"/>
  <c r="S410" i="5"/>
  <c r="S449" i="5"/>
  <c r="S547" i="5"/>
  <c r="S428" i="5"/>
  <c r="S464" i="5"/>
  <c r="S558" i="5"/>
  <c r="S433" i="5"/>
  <c r="S565" i="5"/>
  <c r="S478" i="5"/>
  <c r="S444" i="5"/>
  <c r="S487" i="5"/>
  <c r="S434" i="5"/>
  <c r="S371" i="5"/>
  <c r="S511" i="5"/>
  <c r="S452" i="5"/>
  <c r="S436" i="5"/>
  <c r="S352" i="5"/>
  <c r="S496" i="5"/>
  <c r="S530" i="5"/>
  <c r="S274" i="5"/>
  <c r="S505" i="5"/>
  <c r="S509" i="5"/>
  <c r="S402" i="5"/>
  <c r="S403" i="5"/>
  <c r="S515" i="5"/>
  <c r="S374" i="5"/>
  <c r="S407" i="5"/>
  <c r="S516" i="5"/>
  <c r="S372" i="5"/>
  <c r="S510" i="5"/>
  <c r="S349" i="5"/>
  <c r="S563" i="5"/>
  <c r="S517" i="5"/>
  <c r="S388" i="5"/>
  <c r="S463" i="5"/>
  <c r="S573" i="5"/>
  <c r="S577" i="5"/>
  <c r="S564" i="5"/>
  <c r="S412" i="5"/>
  <c r="S441" i="5"/>
  <c r="S484" i="5"/>
  <c r="S458" i="5"/>
  <c r="S442" i="5"/>
  <c r="S486" i="5"/>
  <c r="S270" i="5"/>
  <c r="S549" i="5"/>
  <c r="S534" i="5"/>
  <c r="S420" i="5"/>
  <c r="S356" i="5"/>
  <c r="S432" i="5"/>
  <c r="S535" i="5"/>
  <c r="S268" i="5"/>
  <c r="S375" i="5"/>
  <c r="S427" i="5"/>
  <c r="S382" i="5"/>
  <c r="S429" i="5"/>
  <c r="S481" i="5"/>
  <c r="S362" i="5"/>
  <c r="S414" i="5"/>
  <c r="S271" i="5"/>
  <c r="S480" i="5"/>
  <c r="S361" i="5"/>
  <c r="S553" i="5"/>
  <c r="S421" i="5"/>
  <c r="S385" i="5"/>
  <c r="S483" i="5"/>
  <c r="S275" i="5"/>
  <c r="S493" i="5"/>
  <c r="S569" i="5"/>
  <c r="S392" i="5"/>
  <c r="S538" i="5"/>
  <c r="S559" i="5"/>
  <c r="S394" i="5"/>
  <c r="S465" i="5"/>
  <c r="S580" i="5"/>
  <c r="S354" i="5"/>
  <c r="S502" i="5"/>
  <c r="S519" i="5"/>
  <c r="S521" i="5"/>
  <c r="S369" i="5"/>
  <c r="S539" i="5"/>
  <c r="S277" i="5"/>
  <c r="S280" i="5"/>
  <c r="S562" i="5"/>
  <c r="S574" i="5"/>
  <c r="S397" i="5"/>
  <c r="S554" i="5"/>
  <c r="S398" i="5"/>
  <c r="S571" i="5"/>
  <c r="S386" i="5"/>
  <c r="S506" i="5"/>
  <c r="S364" i="5"/>
  <c r="S357" i="5"/>
  <c r="S560" i="5"/>
  <c r="S281" i="5"/>
  <c r="S395" i="5"/>
  <c r="S460" i="5"/>
  <c r="S445" i="5"/>
  <c r="S276" i="5"/>
  <c r="S527" i="5"/>
  <c r="S384" i="5"/>
  <c r="S572" i="5"/>
  <c r="S365" i="5"/>
  <c r="S489" i="5"/>
  <c r="S391" i="5"/>
  <c r="S533" i="5"/>
  <c r="S426" i="5"/>
  <c r="S525" i="5"/>
  <c r="S536" i="5"/>
  <c r="S350" i="5"/>
  <c r="S546" i="5"/>
  <c r="S540" i="5"/>
  <c r="S358" i="5"/>
  <c r="S366" i="5"/>
  <c r="S379" i="5"/>
  <c r="S472" i="5"/>
  <c r="S492" i="5"/>
  <c r="S585" i="5"/>
  <c r="S555" i="5"/>
  <c r="S523" i="5"/>
  <c r="S576" i="5"/>
  <c r="S482" i="5"/>
  <c r="S440" i="5"/>
  <c r="S411" i="5"/>
  <c r="S557" i="5"/>
  <c r="S405" i="5"/>
  <c r="S269" i="5"/>
  <c r="S435" i="5"/>
  <c r="S272" i="5"/>
  <c r="S471" i="5"/>
  <c r="S552" i="5"/>
  <c r="S579" i="5"/>
  <c r="S390" i="5"/>
  <c r="S485" i="5"/>
  <c r="S448" i="5"/>
  <c r="S373" i="5"/>
  <c r="S475" i="5"/>
  <c r="S273" i="5"/>
  <c r="S556" i="5"/>
  <c r="S454" i="5"/>
  <c r="S499" i="5"/>
  <c r="S447" i="5"/>
  <c r="S507" i="5"/>
  <c r="S406" i="5"/>
  <c r="S399" i="5"/>
  <c r="S418" i="5"/>
  <c r="S469" i="5"/>
  <c r="S498" i="5"/>
  <c r="S566" i="5"/>
  <c r="S459" i="5"/>
  <c r="S532" i="5"/>
  <c r="S476" i="5"/>
  <c r="S500" i="5"/>
  <c r="S531" i="5"/>
  <c r="S568" i="5"/>
  <c r="S462" i="5"/>
  <c r="S578" i="5"/>
  <c r="S351" i="5"/>
  <c r="S542" i="5"/>
  <c r="S383" i="5"/>
  <c r="S491" i="5"/>
  <c r="S456" i="5"/>
  <c r="S474" i="5"/>
  <c r="S470" i="5"/>
  <c r="S438" i="5"/>
  <c r="S504" i="5"/>
  <c r="S479" i="5"/>
  <c r="S526" i="5"/>
  <c r="S415" i="5"/>
  <c r="S419" i="5"/>
  <c r="S584" i="5"/>
  <c r="S451" i="5"/>
  <c r="S501" i="5"/>
  <c r="S424" i="5"/>
  <c r="S359" i="5"/>
  <c r="S497" i="5"/>
  <c r="S524" i="5"/>
  <c r="S457" i="5"/>
  <c r="S387" i="5"/>
  <c r="S378" i="5"/>
  <c r="S380" i="5"/>
  <c r="S278" i="5"/>
  <c r="S363" i="5"/>
  <c r="S477" i="5"/>
  <c r="S575" i="5"/>
  <c r="S467" i="5"/>
  <c r="S430" i="5"/>
  <c r="S423" i="5"/>
  <c r="S282" i="5"/>
  <c r="S490" i="5"/>
  <c r="S416" i="5"/>
  <c r="S422" i="5"/>
  <c r="S389" i="5"/>
  <c r="S393" i="5"/>
  <c r="S488" i="5"/>
  <c r="S439" i="5"/>
  <c r="S512" i="5"/>
  <c r="S520" i="5"/>
  <c r="S370" i="5"/>
  <c r="S353" i="5"/>
  <c r="S455" i="5"/>
  <c r="S537" i="5"/>
  <c r="S443" i="5"/>
  <c r="S355" i="5"/>
  <c r="S431" i="5"/>
  <c r="S544" i="5"/>
  <c r="S543" i="5"/>
  <c r="S360" i="5"/>
  <c r="S461" i="5"/>
  <c r="S453" i="5"/>
  <c r="S408" i="5"/>
  <c r="S528" i="5"/>
  <c r="S368" i="5"/>
  <c r="S437" i="5"/>
  <c r="S446" i="5"/>
  <c r="S561" i="5"/>
  <c r="S400" i="5"/>
  <c r="S401" i="5"/>
  <c r="S567" i="5"/>
  <c r="S529" i="5"/>
  <c r="S522" i="5"/>
  <c r="S381" i="5"/>
  <c r="S450" i="5"/>
  <c r="S377" i="5"/>
  <c r="S413" i="5"/>
  <c r="S376" i="5"/>
  <c r="S550" i="5"/>
  <c r="S409" i="5"/>
  <c r="S494" i="5"/>
  <c r="S425" i="5"/>
  <c r="S396" i="5"/>
  <c r="S548" i="5"/>
  <c r="S545" i="5"/>
  <c r="S495" i="5"/>
  <c r="S404" i="5"/>
  <c r="S518" i="5"/>
  <c r="S5" i="5"/>
  <c r="S79" i="5"/>
  <c r="S61" i="5"/>
  <c r="S102" i="5"/>
  <c r="S170" i="5"/>
  <c r="S142" i="5"/>
  <c r="S215" i="5"/>
  <c r="S16" i="5"/>
  <c r="S143" i="5"/>
  <c r="S86" i="5"/>
  <c r="S32" i="5"/>
  <c r="S217" i="5"/>
  <c r="S126" i="5"/>
  <c r="S238" i="5"/>
  <c r="S160" i="5"/>
  <c r="S67" i="5"/>
  <c r="S258" i="5"/>
  <c r="S96" i="5"/>
  <c r="S180" i="5"/>
  <c r="S94" i="5"/>
  <c r="S97" i="5"/>
  <c r="S128" i="5"/>
  <c r="S173" i="5"/>
  <c r="S108" i="5"/>
  <c r="S211" i="5"/>
  <c r="S120" i="5"/>
  <c r="S239" i="5"/>
  <c r="S236" i="5"/>
  <c r="S181" i="5"/>
  <c r="S133" i="5"/>
  <c r="S204" i="5"/>
  <c r="S59" i="5"/>
  <c r="S38" i="5"/>
  <c r="S11" i="5"/>
  <c r="S242" i="5"/>
  <c r="S31" i="5"/>
  <c r="S93" i="5"/>
  <c r="S229" i="5"/>
  <c r="S42" i="5"/>
  <c r="S234" i="5"/>
  <c r="S39" i="5"/>
  <c r="S226" i="5"/>
  <c r="S112" i="5"/>
  <c r="S44" i="5"/>
  <c r="S6" i="5"/>
  <c r="S178" i="5"/>
  <c r="S66" i="5"/>
  <c r="S214" i="5"/>
  <c r="S83" i="5"/>
  <c r="S114" i="5"/>
  <c r="S165" i="5"/>
  <c r="S241" i="5"/>
  <c r="S175" i="5"/>
  <c r="S167" i="5"/>
  <c r="S137" i="5"/>
  <c r="S245" i="5"/>
  <c r="S105" i="5"/>
  <c r="S52" i="5"/>
  <c r="S35" i="5"/>
  <c r="S251" i="5"/>
  <c r="S139" i="5"/>
  <c r="S265" i="5"/>
  <c r="S41" i="5"/>
  <c r="S107" i="5"/>
  <c r="S154" i="5"/>
  <c r="S240" i="5"/>
  <c r="S231" i="5"/>
  <c r="S146" i="5"/>
  <c r="S186" i="5"/>
  <c r="S87" i="5"/>
  <c r="S209" i="5"/>
  <c r="S36" i="5"/>
  <c r="S208" i="5"/>
  <c r="S135" i="5"/>
  <c r="S34" i="5"/>
  <c r="S138" i="5"/>
  <c r="S76" i="5"/>
  <c r="S118" i="5"/>
  <c r="S179" i="5"/>
  <c r="S184" i="5"/>
  <c r="S147" i="5"/>
  <c r="S53" i="5"/>
  <c r="S246" i="5"/>
  <c r="S158" i="5"/>
  <c r="S196" i="5"/>
  <c r="S111" i="5"/>
  <c r="S162" i="5"/>
  <c r="S243" i="5"/>
  <c r="S122" i="5"/>
  <c r="S124" i="5"/>
  <c r="S203" i="5"/>
  <c r="S65" i="5"/>
  <c r="S115" i="5"/>
  <c r="S227" i="5"/>
  <c r="S47" i="5"/>
  <c r="S256" i="5"/>
  <c r="S80" i="5"/>
  <c r="S62" i="5"/>
  <c r="S69" i="5"/>
  <c r="S255" i="5"/>
  <c r="S141" i="5"/>
  <c r="S92" i="5"/>
  <c r="S28" i="5"/>
  <c r="S194" i="5"/>
  <c r="S266" i="5"/>
  <c r="S131" i="5"/>
  <c r="S12" i="5"/>
  <c r="S101" i="5"/>
  <c r="S264" i="5"/>
  <c r="S132" i="5"/>
  <c r="S190" i="5"/>
  <c r="S100" i="5"/>
  <c r="S213" i="5"/>
  <c r="S25" i="5"/>
  <c r="S250" i="5"/>
  <c r="S64" i="5"/>
  <c r="S205" i="5"/>
  <c r="S228" i="5"/>
  <c r="S188" i="5"/>
  <c r="S182" i="5"/>
  <c r="S37" i="5"/>
  <c r="S88" i="5"/>
  <c r="S77" i="5"/>
  <c r="S201" i="5"/>
  <c r="S148" i="5"/>
  <c r="S198" i="5"/>
  <c r="S103" i="5"/>
  <c r="S9" i="5"/>
  <c r="S29" i="5"/>
  <c r="S130" i="5"/>
  <c r="S172" i="5"/>
  <c r="S195" i="5"/>
  <c r="S235" i="5"/>
  <c r="S74" i="5"/>
  <c r="S82" i="5"/>
  <c r="S89" i="5"/>
  <c r="S189" i="5"/>
  <c r="S202" i="5"/>
  <c r="S224" i="5"/>
  <c r="S157" i="5"/>
  <c r="S159" i="5"/>
  <c r="S85" i="5"/>
  <c r="S193" i="5"/>
  <c r="S109" i="5"/>
  <c r="S13" i="5"/>
  <c r="S68" i="5"/>
  <c r="S55" i="5"/>
  <c r="S7" i="5"/>
  <c r="S10" i="5"/>
  <c r="S156" i="5"/>
  <c r="S8" i="5"/>
  <c r="S40" i="5"/>
  <c r="S70" i="5"/>
  <c r="S27" i="5"/>
  <c r="S267" i="5"/>
  <c r="S221" i="5"/>
  <c r="S218" i="5"/>
  <c r="S84" i="5"/>
  <c r="S134" i="5"/>
  <c r="S197" i="5"/>
  <c r="S259" i="5"/>
  <c r="S19" i="5"/>
  <c r="S116" i="5"/>
  <c r="S75" i="5"/>
  <c r="S230" i="5"/>
  <c r="S129" i="5"/>
  <c r="S244" i="5"/>
  <c r="S187" i="5"/>
  <c r="S113" i="5"/>
  <c r="S183" i="5"/>
  <c r="S144" i="5"/>
  <c r="S14" i="5"/>
  <c r="S117" i="5"/>
  <c r="S22" i="5"/>
  <c r="S63" i="5"/>
  <c r="S164" i="5"/>
  <c r="S185" i="5"/>
  <c r="S261" i="5"/>
  <c r="S149" i="5"/>
  <c r="S222" i="5"/>
  <c r="S223" i="5"/>
  <c r="S233" i="5"/>
  <c r="S192" i="5"/>
  <c r="S140" i="5"/>
  <c r="S168" i="5"/>
  <c r="S91" i="5"/>
  <c r="S15" i="5"/>
  <c r="S152" i="5"/>
  <c r="S262" i="5"/>
  <c r="S216" i="5"/>
  <c r="S252" i="5"/>
  <c r="S56" i="5"/>
  <c r="S50" i="5"/>
  <c r="S98" i="5"/>
  <c r="S95" i="5"/>
  <c r="S104" i="5"/>
  <c r="S161" i="5"/>
  <c r="S254" i="5"/>
  <c r="S46" i="5"/>
  <c r="S51" i="5"/>
  <c r="S263" i="5"/>
  <c r="S90" i="5"/>
  <c r="S54" i="5"/>
  <c r="S48" i="5"/>
  <c r="S153" i="5"/>
  <c r="S169" i="5"/>
  <c r="S106" i="5"/>
  <c r="S199" i="5"/>
  <c r="S150" i="5"/>
  <c r="S71" i="5"/>
  <c r="S45" i="5"/>
  <c r="S174" i="5"/>
  <c r="S127" i="5"/>
  <c r="S212" i="5"/>
  <c r="S220" i="5"/>
  <c r="S21" i="5"/>
  <c r="S210" i="5"/>
  <c r="S58" i="5"/>
  <c r="S257" i="5"/>
  <c r="S136" i="5"/>
  <c r="S119" i="5"/>
  <c r="S151" i="5"/>
  <c r="S123" i="5"/>
  <c r="S81" i="5"/>
  <c r="S247" i="5"/>
  <c r="S121" i="5"/>
  <c r="S249" i="5"/>
  <c r="S237" i="5"/>
  <c r="S206" i="5"/>
  <c r="S260" i="5"/>
  <c r="S191" i="5"/>
  <c r="S253" i="5"/>
  <c r="S24" i="5"/>
  <c r="S49" i="5"/>
  <c r="S125" i="5"/>
  <c r="S99" i="5"/>
  <c r="S171" i="5"/>
  <c r="S72" i="5"/>
  <c r="S145" i="5"/>
  <c r="S248" i="5"/>
  <c r="S225" i="5"/>
  <c r="S200" i="5"/>
  <c r="S23" i="5"/>
  <c r="S176" i="5"/>
  <c r="S26" i="5"/>
  <c r="S177" i="5"/>
  <c r="S166" i="5"/>
  <c r="S207" i="5"/>
  <c r="S78" i="5"/>
  <c r="S110" i="5"/>
  <c r="S219" i="5"/>
  <c r="S20" i="5"/>
  <c r="S18" i="5"/>
  <c r="S232" i="5"/>
  <c r="S60" i="5"/>
  <c r="S155" i="5"/>
  <c r="S30" i="5"/>
  <c r="S163" i="5"/>
  <c r="S43" i="5"/>
  <c r="H66" i="6" l="1"/>
  <c r="H67" i="6" s="1"/>
  <c r="D2" i="6" s="1"/>
  <c r="C66"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<sst xmlns="http://schemas.openxmlformats.org/spreadsheetml/2006/main" count="23765" uniqueCount="15527">
  <si>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</si>
  <si>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</si>
  <si>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</si>
  <si>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</si>
  <si>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</si>
  <si>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</si>
  <si>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</si>
  <si>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</si>
  <si>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</si>
  <si>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</si>
  <si>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</si>
  <si>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</si>
  <si>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</si>
  <si>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</si>
  <si>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</si>
  <si>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</si>
  <si>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</si>
  <si>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</si>
  <si>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</si>
  <si>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</si>
  <si>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</si>
  <si>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</si>
  <si>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</si>
  <si>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</si>
  <si>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</si>
  <si>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</si>
  <si>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</si>
  <si>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</si>
  <si>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</si>
  <si>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</si>
  <si>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</si>
  <si>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</si>
  <si>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</si>
  <si>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</si>
  <si>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</si>
  <si>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</si>
  <si>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</si>
  <si>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</si>
  <si>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</si>
  <si>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</si>
  <si>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</si>
  <si>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</si>
  <si>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</si>
  <si>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</si>
  <si>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</si>
  <si>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</si>
  <si>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</si>
  <si>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</si>
  <si>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</si>
  <si>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</si>
  <si>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</si>
  <si>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</si>
  <si>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</si>
  <si>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</si>
  <si>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</si>
  <si>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</si>
  <si>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</si>
  <si>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</si>
  <si>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</si>
  <si>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</si>
  <si>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</si>
  <si>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</si>
  <si>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</si>
  <si>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</si>
  <si>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</si>
  <si>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</si>
  <si>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</si>
  <si>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</si>
  <si>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</si>
  <si>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</si>
  <si>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</si>
  <si>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</si>
  <si>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</si>
  <si>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</si>
  <si>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</si>
  <si>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</si>
  <si>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</si>
  <si>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</si>
  <si>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</si>
  <si>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</si>
  <si>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</si>
  <si>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</si>
  <si>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</si>
  <si>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</si>
  <si>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</si>
  <si>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</si>
  <si>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</si>
  <si>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</si>
  <si>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</si>
  <si>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</si>
  <si>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</si>
  <si>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</si>
  <si>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</si>
  <si>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</si>
  <si>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</si>
  <si>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</si>
  <si>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</si>
  <si>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</si>
  <si>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</si>
  <si>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</si>
  <si>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</si>
  <si>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</si>
  <si>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</si>
  <si>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</si>
  <si>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</si>
  <si>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</si>
  <si>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</si>
  <si>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</si>
  <si>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</si>
  <si>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</si>
  <si>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</si>
  <si>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</si>
  <si>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</si>
  <si>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</si>
  <si>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</si>
  <si>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</si>
  <si>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</si>
  <si>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</si>
  <si>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</si>
  <si>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</si>
  <si>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</si>
  <si>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</si>
  <si>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</si>
  <si>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</si>
  <si>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</si>
  <si>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</si>
  <si>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</si>
  <si>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</si>
  <si>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</si>
  <si>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</si>
  <si>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</si>
  <si>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</si>
  <si>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</si>
  <si>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</si>
  <si>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</si>
  <si>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</si>
  <si>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</si>
  <si>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</si>
  <si>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</si>
  <si>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</si>
  <si>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</si>
  <si>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</si>
  <si>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</si>
  <si>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</si>
  <si>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</si>
  <si>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</si>
  <si>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</si>
  <si>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</si>
  <si>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</si>
  <si>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</si>
  <si>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</si>
  <si>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</si>
  <si>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</si>
  <si>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</si>
  <si>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</si>
  <si>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</si>
  <si>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</si>
  <si>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</si>
  <si>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</si>
  <si>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</si>
  <si>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</si>
  <si>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</si>
  <si>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</si>
  <si>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</si>
  <si>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</si>
  <si>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</si>
  <si>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</si>
  <si>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</si>
  <si>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</si>
  <si>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</si>
  <si>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</si>
  <si>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</si>
  <si>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</si>
  <si>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</si>
  <si>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</si>
  <si>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</si>
  <si>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</si>
  <si>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</si>
  <si>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</si>
  <si>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</si>
  <si>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</si>
  <si>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</si>
  <si>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</si>
  <si>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</si>
  <si>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</si>
  <si>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</si>
  <si>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</si>
  <si>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</si>
  <si>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</si>
  <si>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</si>
  <si>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</si>
  <si>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</si>
  <si>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</si>
  <si>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</si>
  <si>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</si>
  <si>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</si>
  <si>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</si>
  <si>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</si>
  <si>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</si>
  <si>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</si>
  <si>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</si>
  <si>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</si>
  <si>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</si>
  <si>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</si>
  <si>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</si>
  <si>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</si>
  <si>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</si>
  <si>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</si>
  <si>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</si>
  <si>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</si>
  <si>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</si>
  <si>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</si>
  <si>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</si>
  <si>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</si>
  <si>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</si>
  <si>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</si>
  <si>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</si>
  <si>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</si>
  <si>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</si>
  <si>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</si>
  <si>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</si>
  <si>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</si>
  <si>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</si>
  <si>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</si>
  <si>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</si>
  <si>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</si>
  <si>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</si>
  <si>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</si>
  <si>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</si>
  <si>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</si>
  <si>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</si>
  <si>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</si>
  <si>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</si>
  <si>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</si>
  <si>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</si>
  <si>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</si>
  <si>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</si>
  <si>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</si>
  <si>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</si>
  <si>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</si>
  <si>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</si>
  <si>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</si>
  <si>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</si>
  <si>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</si>
  <si>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</si>
  <si>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</si>
  <si>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</si>
  <si>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</si>
  <si>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</si>
  <si>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</si>
  <si>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</si>
  <si>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</si>
  <si>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</si>
  <si>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</si>
  <si>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</si>
  <si>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</si>
  <si>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</si>
  <si>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</si>
  <si>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</si>
  <si>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</si>
  <si>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</si>
  <si>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</si>
  <si>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</si>
  <si>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</si>
  <si>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</si>
  <si>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</si>
  <si>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</si>
  <si>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</si>
  <si>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</si>
  <si>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</si>
  <si>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</si>
  <si>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</si>
  <si>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</si>
  <si>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</si>
  <si>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</si>
  <si>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</si>
  <si>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</si>
  <si>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</si>
  <si>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</si>
  <si>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</si>
  <si>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</si>
  <si>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</si>
  <si>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</si>
  <si>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</si>
  <si>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</si>
  <si>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</si>
  <si>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</si>
  <si>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</si>
  <si>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</si>
  <si>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</si>
  <si>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</si>
  <si>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</si>
  <si>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</si>
  <si>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</si>
  <si>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</si>
  <si>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</si>
  <si>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</si>
  <si>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</si>
  <si>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</si>
  <si>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</si>
  <si>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</si>
  <si>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</si>
  <si>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</si>
  <si>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</si>
  <si>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</si>
  <si>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</si>
  <si>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</si>
  <si>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</si>
  <si>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</si>
  <si>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</si>
  <si>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</si>
  <si>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</si>
  <si>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</si>
  <si>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</si>
  <si>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</si>
  <si>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</si>
  <si>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</si>
  <si>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</si>
  <si>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</si>
  <si>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</si>
  <si>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</si>
  <si>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</si>
  <si>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</si>
  <si>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</si>
  <si>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</si>
  <si>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</si>
  <si>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</si>
  <si>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</si>
  <si>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</si>
  <si>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</si>
  <si>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</si>
  <si>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</si>
  <si>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</si>
  <si>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</si>
  <si>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</si>
  <si>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</si>
  <si>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</si>
  <si>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</si>
  <si>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</si>
  <si>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</si>
  <si>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</si>
  <si>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</si>
  <si>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</si>
  <si>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</si>
  <si>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</si>
  <si>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</si>
  <si>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</si>
  <si>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</si>
  <si>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</si>
  <si>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</si>
  <si>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</si>
  <si>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</si>
  <si>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</si>
  <si>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</si>
  <si>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</si>
  <si>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</si>
  <si>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</si>
  <si>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</si>
  <si>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</si>
  <si>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</si>
  <si>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</si>
  <si>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</si>
  <si>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</si>
  <si>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</si>
  <si>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</si>
  <si>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</si>
  <si>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</si>
  <si>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</si>
  <si>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</si>
  <si>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</si>
  <si>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</si>
  <si>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</si>
  <si>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</si>
  <si>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</si>
  <si>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</si>
  <si>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</si>
  <si>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</si>
  <si>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</si>
  <si>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</si>
  <si>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</si>
  <si>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</si>
  <si>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</si>
  <si>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</si>
  <si>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</si>
  <si>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</si>
  <si>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</si>
  <si>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</si>
  <si>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</si>
  <si>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</si>
  <si>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</si>
  <si>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</si>
  <si>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</si>
  <si>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</si>
  <si>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</si>
  <si>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</si>
  <si>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</si>
  <si>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</si>
  <si>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</si>
  <si>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</si>
  <si>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</si>
  <si>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</si>
  <si>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</si>
  <si>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</si>
  <si>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</si>
  <si>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</si>
  <si>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</si>
  <si>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</si>
  <si>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</si>
  <si>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</si>
  <si>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</si>
  <si>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</si>
  <si>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</si>
  <si>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</si>
  <si>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</si>
  <si>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</si>
  <si>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</si>
  <si>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</si>
  <si>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</si>
  <si>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</si>
  <si>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</si>
  <si>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</si>
  <si>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</si>
  <si>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</si>
  <si>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</si>
  <si>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</si>
  <si>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</si>
  <si>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</si>
  <si>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</si>
  <si>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</si>
  <si>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</si>
  <si>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</si>
  <si>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</si>
  <si>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</si>
  <si>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</si>
  <si>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</si>
  <si>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</si>
  <si>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</si>
  <si>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</si>
  <si>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</si>
  <si>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</si>
  <si>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</si>
  <si>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</si>
  <si>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</si>
  <si>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</si>
  <si>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</si>
  <si>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</si>
  <si>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</si>
  <si>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</si>
  <si>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</si>
  <si>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</si>
  <si>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</si>
  <si>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</si>
  <si>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</si>
  <si>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</si>
  <si>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</si>
  <si>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</si>
  <si>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</si>
  <si>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</si>
  <si>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</si>
  <si>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</si>
  <si>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</si>
  <si>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</si>
  <si>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</si>
  <si>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</si>
  <si>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</si>
  <si>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</si>
  <si>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</si>
  <si>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</si>
  <si>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</si>
  <si>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</si>
  <si>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</si>
  <si>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</si>
  <si>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</si>
  <si>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</si>
  <si>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</si>
  <si>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</si>
  <si>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</si>
  <si>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</si>
  <si>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</si>
  <si>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</si>
  <si>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</si>
  <si>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</si>
  <si>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</si>
  <si>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</si>
  <si>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</si>
  <si>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</si>
  <si>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</si>
  <si>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</si>
  <si>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</si>
  <si>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</si>
  <si>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</si>
  <si>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</si>
  <si>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</si>
  <si>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</si>
  <si>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</si>
  <si>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</si>
  <si>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</si>
  <si>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</si>
  <si>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</si>
  <si>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</si>
  <si>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</si>
  <si>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</si>
  <si>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</si>
  <si>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</si>
  <si>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</si>
  <si>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</si>
  <si>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</si>
  <si>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</si>
  <si>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</si>
  <si>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</si>
  <si>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</si>
  <si>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</si>
  <si>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</si>
  <si>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</si>
  <si>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</si>
  <si>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</si>
  <si>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</si>
  <si>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</si>
  <si>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</si>
  <si>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</si>
  <si>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</si>
  <si>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</si>
  <si>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</si>
  <si>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</si>
  <si>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</si>
  <si>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</si>
  <si>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</si>
  <si>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</si>
  <si>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</si>
  <si>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</si>
  <si>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</si>
  <si>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</si>
  <si>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</si>
  <si>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</si>
  <si>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</si>
  <si>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</si>
  <si>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</si>
  <si>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</si>
  <si>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</si>
  <si>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</si>
  <si>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</si>
  <si>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</si>
  <si>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</si>
  <si>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</si>
  <si>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</si>
  <si>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</si>
  <si>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</si>
  <si>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</si>
  <si>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</si>
  <si>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</si>
  <si>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</si>
  <si>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</si>
  <si>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</si>
  <si>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</si>
  <si>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</si>
  <si>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</si>
  <si>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</si>
  <si>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</si>
  <si>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</si>
  <si>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</si>
  <si>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</si>
  <si>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</si>
  <si>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</si>
  <si>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</si>
  <si>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</si>
  <si>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</si>
  <si>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</si>
  <si>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</si>
  <si>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</si>
  <si>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</si>
  <si>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</si>
  <si>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</si>
  <si>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</si>
  <si>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</si>
  <si>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</si>
  <si>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</si>
  <si>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</si>
  <si>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</si>
  <si>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</si>
  <si>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</si>
  <si>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</si>
  <si>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</si>
  <si>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</si>
  <si>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</si>
  <si>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</si>
  <si>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</si>
  <si>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</si>
  <si>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</si>
  <si>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</si>
  <si>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</si>
  <si>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</si>
  <si>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</si>
  <si>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</si>
  <si>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</si>
  <si>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</si>
  <si>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</si>
  <si>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</si>
  <si>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</si>
  <si>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</si>
  <si>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</si>
  <si>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</si>
  <si>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</si>
  <si>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</si>
  <si>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</si>
  <si>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</si>
  <si>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</si>
  <si>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</si>
  <si>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</si>
  <si>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</si>
  <si>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</si>
  <si>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</si>
  <si>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</si>
  <si>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</si>
  <si>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</si>
  <si>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</si>
  <si>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</si>
  <si>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</si>
  <si>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</si>
  <si>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</si>
  <si>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</si>
  <si>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</si>
  <si>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</si>
  <si>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</si>
  <si>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</si>
  <si>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</si>
  <si>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</si>
  <si>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</si>
  <si>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</si>
  <si>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</si>
  <si>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</si>
  <si>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</si>
  <si>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</si>
  <si>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</si>
  <si>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</si>
  <si>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</si>
  <si>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</si>
  <si>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</si>
  <si>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</si>
  <si>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</si>
  <si>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</si>
  <si>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</si>
  <si>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</si>
  <si>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</si>
  <si>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</si>
  <si>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</si>
  <si>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</si>
  <si>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</si>
  <si>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</si>
  <si>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</si>
  <si>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</si>
  <si>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</si>
  <si>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</si>
  <si>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</si>
  <si>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</si>
  <si>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</si>
  <si>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</si>
  <si>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</si>
  <si>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</si>
  <si>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</si>
  <si>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</si>
  <si>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</si>
  <si>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</si>
  <si>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</si>
  <si>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</si>
  <si>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</si>
  <si>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</si>
  <si>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</si>
  <si>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</si>
  <si>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</si>
  <si>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</si>
  <si>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</si>
  <si>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</si>
  <si>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</si>
  <si>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</si>
  <si>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</si>
  <si>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</si>
  <si>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</si>
  <si>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</si>
  <si>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</si>
  <si>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</si>
  <si>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</si>
  <si>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</si>
  <si>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</si>
  <si>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</si>
  <si>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</si>
  <si>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</si>
  <si>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</si>
  <si>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</si>
  <si>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</si>
  <si>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</si>
  <si>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</si>
  <si>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</si>
  <si>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</si>
  <si>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</si>
  <si>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</si>
  <si>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</si>
  <si>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</si>
  <si>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</si>
  <si>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</si>
  <si>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</si>
  <si>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</si>
  <si>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</si>
  <si>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</si>
  <si>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</si>
  <si>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</si>
  <si>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</si>
  <si>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</si>
  <si>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</si>
  <si>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</si>
  <si>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</si>
  <si>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</si>
  <si>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</si>
  <si>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</si>
  <si>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</si>
  <si>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</si>
  <si>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</si>
  <si>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</si>
  <si>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</si>
  <si>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</si>
  <si>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</si>
  <si>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</si>
  <si>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</si>
  <si>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</si>
  <si>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</si>
  <si>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</si>
  <si>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</si>
  <si>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</si>
  <si>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</si>
  <si>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</si>
  <si>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</si>
  <si>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</si>
  <si>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</si>
  <si>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</si>
  <si>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</si>
  <si>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</si>
  <si>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</si>
  <si>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</si>
  <si>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</si>
  <si>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</si>
  <si>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</si>
  <si>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</si>
  <si>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</si>
  <si>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</si>
  <si>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</si>
  <si>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</si>
  <si>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</si>
  <si>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</si>
  <si>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</si>
  <si>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</si>
  <si>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</si>
  <si>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</si>
  <si>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</si>
  <si>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</si>
  <si>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</si>
  <si>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</si>
  <si>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</si>
  <si>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</si>
  <si>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</si>
  <si>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</si>
  <si>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</si>
  <si>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</si>
  <si>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</si>
  <si>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</si>
  <si>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</si>
  <si>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</si>
  <si>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</si>
  <si>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</si>
  <si>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</si>
  <si>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</si>
  <si>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</si>
  <si>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</si>
  <si>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</si>
  <si>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</si>
  <si>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</si>
  <si>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</si>
  <si>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</si>
  <si>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</si>
  <si>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</si>
  <si>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</si>
  <si>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</si>
  <si>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</si>
  <si>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</si>
  <si>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</si>
  <si>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</si>
  <si>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</si>
  <si>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</si>
  <si>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</si>
  <si>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</si>
  <si>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</si>
  <si>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</si>
  <si>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</si>
  <si>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</si>
  <si>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</si>
  <si>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</si>
  <si>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</si>
  <si>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</si>
  <si>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</si>
  <si>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</si>
  <si>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</si>
  <si>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</si>
  <si>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</si>
  <si>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</si>
  <si>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</si>
  <si>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</si>
  <si>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</si>
  <si>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</si>
  <si>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</si>
  <si>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</si>
  <si>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</si>
  <si>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</si>
  <si>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</si>
  <si>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</si>
  <si>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</si>
  <si>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</si>
  <si>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</si>
  <si>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</si>
  <si>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</si>
  <si>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</si>
  <si>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</si>
  <si>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</si>
  <si>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</si>
  <si>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</si>
  <si>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</si>
  <si>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</si>
  <si>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</si>
  <si>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</si>
  <si>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</si>
  <si>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</si>
  <si>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</si>
  <si>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</si>
  <si>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</si>
  <si>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</si>
  <si>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</si>
  <si>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</si>
  <si>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</si>
  <si>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</si>
  <si>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</si>
  <si>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</si>
  <si>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</si>
  <si>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</si>
  <si>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</si>
  <si>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</si>
  <si>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</si>
  <si>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</si>
  <si>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</si>
  <si>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</si>
  <si>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</si>
  <si>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</si>
  <si>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</si>
  <si>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</si>
  <si>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</si>
  <si>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</si>
  <si>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</si>
  <si>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</si>
  <si>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</si>
  <si>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</si>
  <si>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</si>
  <si>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</si>
  <si>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</si>
  <si>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</si>
  <si>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</si>
  <si>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</si>
  <si>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</si>
  <si>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</si>
  <si>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</si>
  <si>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</si>
  <si>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</si>
  <si>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</si>
  <si>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</si>
  <si>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</si>
  <si>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</si>
  <si>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</si>
  <si>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</si>
  <si>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</si>
  <si>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</si>
  <si>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</si>
  <si>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</si>
  <si>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</si>
  <si>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</si>
  <si>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</si>
  <si>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</si>
  <si>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</si>
  <si>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</si>
  <si>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</si>
  <si>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</si>
  <si>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</si>
  <si>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</si>
  <si>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</si>
  <si>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</si>
  <si>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</si>
  <si>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</si>
  <si>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</si>
  <si>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</si>
  <si>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</si>
  <si>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</si>
  <si>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</si>
  <si>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</si>
  <si>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</si>
  <si>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</si>
  <si>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</si>
  <si>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</si>
  <si>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</si>
  <si>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</si>
  <si>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</si>
  <si>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</si>
  <si>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</si>
  <si>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</si>
  <si>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</si>
  <si>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</si>
  <si>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</si>
  <si>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</si>
  <si>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</si>
  <si>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</si>
  <si>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</si>
  <si>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</si>
  <si>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</si>
  <si>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</si>
  <si>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</si>
  <si>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</si>
  <si>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</si>
  <si>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</si>
  <si>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</si>
  <si>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</si>
  <si>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</si>
  <si>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</si>
  <si>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</si>
  <si>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</si>
  <si>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</si>
  <si>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</si>
  <si>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</si>
  <si>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</si>
  <si>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</si>
  <si>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</si>
  <si>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</si>
  <si>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</si>
  <si>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</si>
  <si>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</si>
  <si>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</si>
  <si>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</si>
  <si>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</si>
  <si>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</si>
  <si>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</si>
  <si>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</si>
  <si>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</si>
  <si>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</si>
  <si>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</si>
  <si>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</si>
  <si>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</si>
  <si>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</si>
  <si>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</si>
  <si>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</si>
  <si>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</si>
  <si>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</si>
  <si>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</si>
  <si>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</si>
  <si>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</si>
  <si>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</si>
  <si>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</si>
  <si>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</si>
  <si>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</si>
  <si>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</si>
  <si>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</si>
  <si>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</si>
  <si>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</si>
  <si>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</si>
  <si>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</si>
  <si>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</si>
  <si>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</si>
  <si>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</si>
  <si>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</si>
  <si>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</si>
  <si>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</si>
  <si>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</si>
  <si>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</si>
  <si>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</si>
  <si>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</si>
  <si>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</si>
  <si>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</si>
  <si>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</si>
  <si>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</si>
  <si>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</si>
  <si>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</si>
  <si>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</si>
  <si>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</si>
  <si>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</si>
  <si>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</si>
  <si>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</si>
  <si>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</si>
  <si>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</si>
  <si>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</si>
  <si>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</si>
  <si>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</si>
  <si>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</si>
  <si>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</si>
  <si>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</si>
  <si>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</si>
  <si>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</si>
  <si>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</si>
  <si>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</si>
  <si>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</si>
  <si>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</si>
  <si>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</si>
  <si>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</si>
  <si>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</si>
  <si>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</si>
  <si>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</si>
  <si>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</si>
  <si>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</si>
  <si>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</si>
  <si>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</si>
  <si>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</si>
  <si>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</si>
  <si>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</si>
  <si>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</si>
  <si>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</si>
  <si>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</si>
  <si>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</si>
  <si>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</si>
  <si>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</si>
  <si>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</si>
  <si>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</si>
  <si>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</si>
  <si>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</si>
  <si>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</si>
  <si>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</si>
  <si>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</si>
  <si>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</si>
  <si>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</si>
  <si>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</si>
  <si>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</si>
  <si>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</si>
  <si>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</si>
  <si>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</si>
  <si>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</si>
  <si>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</si>
  <si>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</si>
  <si>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</si>
  <si>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</si>
  <si>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</si>
  <si>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</si>
  <si>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</si>
  <si>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</si>
  <si>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</si>
  <si>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</si>
  <si>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</si>
  <si>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</si>
  <si>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</si>
  <si>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</si>
  <si>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</si>
  <si>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</si>
  <si>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</si>
  <si>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</si>
  <si>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</si>
  <si>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</si>
  <si>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</si>
  <si>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</si>
  <si>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</si>
  <si>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</si>
  <si>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</si>
  <si>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</si>
  <si>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</si>
  <si>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</si>
  <si>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</si>
  <si>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</si>
  <si>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</si>
  <si>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</si>
  <si>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</si>
  <si>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</si>
  <si>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</si>
  <si>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</si>
  <si>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</si>
  <si>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</si>
  <si>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</si>
  <si>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</si>
  <si>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</si>
  <si>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</si>
  <si>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</si>
  <si>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</si>
  <si>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</si>
  <si>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</si>
  <si>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</si>
  <si>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</si>
  <si>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</si>
  <si>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</si>
  <si>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</si>
  <si>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</si>
  <si>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</si>
  <si>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</si>
  <si>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</si>
  <si>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</si>
  <si>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</si>
  <si>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</si>
  <si>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</si>
  <si>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</si>
  <si>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</si>
  <si>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</si>
  <si>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</si>
  <si>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</si>
  <si>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</si>
  <si>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</si>
  <si>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</si>
  <si>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</si>
  <si>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</si>
  <si>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</si>
  <si>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</si>
  <si>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</si>
  <si>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</si>
  <si>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</si>
  <si>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</si>
  <si>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</si>
  <si>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</si>
  <si>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</si>
  <si>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</si>
  <si>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</si>
  <si>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</si>
  <si>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</si>
  <si>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</si>
  <si>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</si>
  <si>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</si>
  <si>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</si>
  <si>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</si>
  <si>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</si>
  <si>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</si>
  <si>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</si>
  <si>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</si>
  <si>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</si>
  <si>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</si>
  <si>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</si>
  <si>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</si>
  <si>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</si>
  <si>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</si>
  <si>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</si>
  <si>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</si>
  <si>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</si>
  <si>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</si>
  <si>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</si>
  <si>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</si>
  <si>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</si>
  <si>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</si>
  <si>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</si>
  <si>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</si>
  <si>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</si>
  <si>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</si>
  <si>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</si>
  <si>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</si>
  <si>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</si>
  <si>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</si>
  <si>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</si>
  <si>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</si>
  <si>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</si>
  <si>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</si>
  <si>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</si>
  <si>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</si>
  <si>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</si>
  <si>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</si>
  <si>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</si>
  <si>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</si>
  <si>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</si>
  <si>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</si>
  <si>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</si>
  <si>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</si>
  <si>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</si>
  <si>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</si>
  <si>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</si>
  <si>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</si>
  <si>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</si>
  <si>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</si>
  <si>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</si>
  <si>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</si>
  <si>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</si>
  <si>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</si>
  <si>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</si>
  <si>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</si>
  <si>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</si>
  <si>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</si>
  <si>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</si>
  <si>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</si>
  <si>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</si>
  <si>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</si>
  <si>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</si>
  <si>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</si>
  <si>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</si>
  <si>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</si>
  <si>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</si>
  <si>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</si>
  <si>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</si>
  <si>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</si>
  <si>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</si>
  <si>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</si>
  <si>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</si>
  <si>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</si>
  <si>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</si>
  <si>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</si>
  <si>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</si>
  <si>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</si>
  <si>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</si>
  <si>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</si>
  <si>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</si>
  <si>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</si>
  <si>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</si>
  <si>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</si>
  <si>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</si>
  <si>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</si>
  <si>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</si>
  <si>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</si>
  <si>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</si>
  <si>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</si>
  <si>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</si>
  <si>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</si>
  <si>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</si>
  <si>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</si>
  <si>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</si>
  <si>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</si>
  <si>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</si>
  <si>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</si>
  <si>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</si>
  <si>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</si>
  <si>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</si>
  <si>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</si>
  <si>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</si>
  <si>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</si>
  <si>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</si>
  <si>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</si>
  <si>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</si>
  <si>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</si>
  <si>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</si>
  <si>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</si>
  <si>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</si>
  <si>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</si>
  <si>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</si>
  <si>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</si>
  <si>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</si>
  <si>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</si>
  <si>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</si>
  <si>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</si>
  <si>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</si>
  <si>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</si>
  <si>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</si>
  <si>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</si>
  <si>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</si>
  <si>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</si>
  <si>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</si>
  <si>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</si>
  <si>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</si>
  <si>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</si>
  <si>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</si>
  <si>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</si>
  <si>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</si>
  <si>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</si>
  <si>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</si>
  <si>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</si>
  <si>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</si>
  <si>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</si>
  <si>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</si>
  <si>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</si>
  <si>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</si>
  <si>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</si>
  <si>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</si>
  <si>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</si>
  <si>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</si>
  <si>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</si>
  <si>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</si>
  <si>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</si>
  <si>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</si>
  <si>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</si>
  <si>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</si>
  <si>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</si>
  <si>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</si>
  <si>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</si>
  <si>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</si>
  <si>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</si>
  <si>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</si>
  <si>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</si>
  <si>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</si>
  <si>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</si>
  <si>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</si>
  <si>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</si>
  <si>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</si>
  <si>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</si>
  <si>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</si>
  <si>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</si>
  <si>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</si>
  <si>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</si>
  <si>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</si>
  <si>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</si>
  <si>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</si>
  <si>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</si>
  <si>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</si>
  <si>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</si>
  <si>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</si>
  <si>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</si>
  <si>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</si>
  <si>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</si>
  <si>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</si>
  <si>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</si>
  <si>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</si>
  <si>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</si>
  <si>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</si>
  <si>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</si>
  <si>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</si>
  <si>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</si>
  <si>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</si>
  <si>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</si>
  <si>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</si>
  <si>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</si>
  <si>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</si>
  <si>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</si>
  <si>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</si>
  <si>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</si>
  <si>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</si>
  <si>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</si>
  <si>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</si>
  <si>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</si>
  <si>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</si>
  <si>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</si>
  <si>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</si>
  <si>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</si>
  <si>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</si>
  <si>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</si>
  <si>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</si>
  <si>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</si>
  <si>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</si>
  <si>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</si>
  <si>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</si>
  <si>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</si>
  <si>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</si>
  <si>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</si>
  <si>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</si>
  <si>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</si>
  <si>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</si>
  <si>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</si>
  <si>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</si>
  <si>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</si>
  <si>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</si>
  <si>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</si>
  <si>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</si>
  <si>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</si>
  <si>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</si>
  <si>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</si>
  <si>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</si>
  <si>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</si>
  <si>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</si>
  <si>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</si>
  <si>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</si>
  <si>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</si>
  <si>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</si>
  <si>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</si>
  <si>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</si>
  <si>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</si>
  <si>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</si>
  <si>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</si>
  <si>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</si>
  <si>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</si>
  <si>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</si>
  <si>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</si>
  <si>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</si>
  <si>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</si>
  <si>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</si>
  <si>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</si>
  <si>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</si>
  <si>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</si>
  <si>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</si>
  <si>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</si>
  <si>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</si>
  <si>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</si>
  <si>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</si>
  <si>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</si>
  <si>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</si>
  <si>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</si>
  <si>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</si>
  <si>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</si>
  <si>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</si>
  <si>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</si>
  <si>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</si>
  <si>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</si>
  <si>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</si>
  <si>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</si>
  <si>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</si>
  <si>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</si>
  <si>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</si>
  <si>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</si>
  <si>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</si>
  <si>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</si>
  <si>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</si>
  <si>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</si>
  <si>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</si>
  <si>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</si>
  <si>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</si>
  <si>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</si>
  <si>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</si>
  <si>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</si>
  <si>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</si>
  <si>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</si>
  <si>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</si>
  <si>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</si>
  <si>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</si>
  <si>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</si>
  <si>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</si>
  <si>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</si>
  <si>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</si>
  <si>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</si>
  <si>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</si>
  <si>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</si>
  <si>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</si>
  <si>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</si>
  <si>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</si>
  <si>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</si>
  <si>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</si>
  <si>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</si>
  <si>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</si>
  <si>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</si>
  <si>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</si>
  <si>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</si>
  <si>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</si>
  <si>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</si>
  <si>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</si>
  <si>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</si>
  <si>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</si>
  <si>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</si>
  <si>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</si>
  <si>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</si>
  <si>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</si>
  <si>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</si>
  <si>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</si>
  <si>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</si>
  <si>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</si>
  <si>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</si>
  <si>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</si>
  <si>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</si>
  <si>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</si>
  <si>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</si>
  <si>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</si>
  <si>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</si>
  <si>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</si>
  <si>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</si>
  <si>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</si>
  <si>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</si>
  <si>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</si>
  <si>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</si>
  <si>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</si>
  <si>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</si>
  <si>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</si>
  <si>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</si>
  <si>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</si>
  <si>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</si>
  <si>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</si>
  <si>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</si>
  <si>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</si>
  <si>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</si>
  <si>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</si>
  <si>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</si>
  <si>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</si>
  <si>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</si>
  <si>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</si>
  <si>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</si>
  <si>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</si>
  <si>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</si>
  <si>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</si>
  <si>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</si>
  <si>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</si>
  <si>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</si>
  <si>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</si>
  <si>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</si>
  <si>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</si>
  <si>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</si>
  <si>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</si>
  <si>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</si>
  <si>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</si>
  <si>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</si>
  <si>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</si>
  <si>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</si>
  <si>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</si>
  <si>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</si>
  <si>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</si>
  <si>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</si>
  <si>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</si>
  <si>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</si>
  <si>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</si>
  <si>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</si>
  <si>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</si>
  <si>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</si>
  <si>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</si>
  <si>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</si>
  <si>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</si>
  <si>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</si>
  <si>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</si>
  <si>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</si>
  <si>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</si>
  <si>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</si>
  <si>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</si>
  <si>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</si>
  <si>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</si>
  <si>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</si>
  <si>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</si>
  <si>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</si>
  <si>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</si>
  <si>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</si>
  <si>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</si>
  <si>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</si>
  <si>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</si>
  <si>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</si>
  <si>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</si>
  <si>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</si>
  <si>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</si>
  <si>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</si>
  <si>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</si>
  <si>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</si>
  <si>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</si>
  <si>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</si>
  <si>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</si>
  <si>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</si>
  <si>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</si>
  <si>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</si>
  <si>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</si>
  <si>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</si>
  <si>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</si>
  <si>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</si>
  <si>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</si>
  <si>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</si>
  <si>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</si>
  <si>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</si>
  <si>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</si>
  <si>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</si>
  <si>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</si>
  <si>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</si>
  <si>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</si>
  <si>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</si>
  <si>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</si>
  <si>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</si>
  <si>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</si>
  <si>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</si>
  <si>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</si>
  <si>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</si>
  <si>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</si>
  <si>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</si>
  <si>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</si>
  <si>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</si>
  <si>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</si>
  <si>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</si>
  <si>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</si>
  <si>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</si>
  <si>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</si>
  <si>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</si>
  <si>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</si>
  <si>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</si>
  <si>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</si>
  <si>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</si>
  <si>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</si>
  <si>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</si>
  <si>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</si>
  <si>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</si>
  <si>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</si>
  <si>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</si>
  <si>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</si>
  <si>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</si>
  <si>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</si>
  <si>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</si>
  <si>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</si>
  <si>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</si>
  <si>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</si>
  <si>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</si>
  <si>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</si>
  <si>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</si>
  <si>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</si>
  <si>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</si>
  <si>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</si>
  <si>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</si>
  <si>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</si>
  <si>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</si>
  <si>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</si>
  <si>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</si>
  <si>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</si>
  <si>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</si>
  <si>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</si>
  <si>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</si>
  <si>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</si>
  <si>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</si>
  <si>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</si>
  <si>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</si>
  <si>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</si>
  <si>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</si>
  <si>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</si>
  <si>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</si>
  <si>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</si>
  <si>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</si>
  <si>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</si>
  <si>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</si>
  <si>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</si>
  <si>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</si>
  <si>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</si>
  <si>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</si>
  <si>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</si>
  <si>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</si>
  <si>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</si>
  <si>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</si>
  <si>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</si>
  <si>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</si>
  <si>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</si>
  <si>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</si>
  <si>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</si>
  <si>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</si>
  <si>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</si>
  <si>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</si>
  <si>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</si>
  <si>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</si>
  <si>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</si>
  <si>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</si>
  <si>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</si>
  <si>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</si>
  <si>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</si>
  <si>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</si>
  <si>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</si>
  <si>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</si>
  <si>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</si>
  <si>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</si>
  <si>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</si>
  <si>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</si>
  <si>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</si>
  <si>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</si>
  <si>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</si>
  <si>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</si>
  <si>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</si>
  <si>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</si>
  <si>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</si>
  <si>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</si>
  <si>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</si>
  <si>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</si>
  <si>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</si>
  <si>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</si>
  <si>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</si>
  <si>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</si>
  <si>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</si>
  <si>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</si>
  <si>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</si>
  <si>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</si>
  <si>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</si>
  <si>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</si>
  <si>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</si>
  <si>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</si>
  <si>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</si>
  <si>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</si>
  <si>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</si>
  <si>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</si>
  <si>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</si>
  <si>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</si>
  <si>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</si>
  <si>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</si>
  <si>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</si>
  <si>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</si>
  <si>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</si>
  <si>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</si>
  <si>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</si>
  <si>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</si>
  <si>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</si>
  <si>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</si>
  <si>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</si>
  <si>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</si>
  <si>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</si>
  <si>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</si>
  <si>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</si>
  <si>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</si>
  <si>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</si>
  <si>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</si>
  <si>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</si>
  <si>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</si>
  <si>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</si>
  <si>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</si>
  <si>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</si>
  <si>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</si>
  <si>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</si>
  <si>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</si>
  <si>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</si>
  <si>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</si>
  <si>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</si>
  <si>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</si>
  <si>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</si>
  <si>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</si>
  <si>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</si>
  <si>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</si>
  <si>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</si>
  <si>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</si>
  <si>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</si>
  <si>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</si>
  <si>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</si>
  <si>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</si>
  <si>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</si>
  <si>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</si>
  <si>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</si>
  <si>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</si>
  <si>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</si>
  <si>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</si>
  <si>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</si>
  <si>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</si>
  <si>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</si>
  <si>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</si>
  <si>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</si>
  <si>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</si>
  <si>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</si>
  <si>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</si>
  <si>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</si>
  <si>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</si>
  <si>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</si>
  <si>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</si>
  <si>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</si>
  <si>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</si>
  <si>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</si>
  <si>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</si>
  <si>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</si>
  <si>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</si>
  <si>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</si>
  <si>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</si>
  <si>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</si>
  <si>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</si>
  <si>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</si>
  <si>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</si>
  <si>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</si>
  <si>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</si>
  <si>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</si>
  <si>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</si>
  <si>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</si>
  <si>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</si>
  <si>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</si>
  <si>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</si>
  <si>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</si>
  <si>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</si>
  <si>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</si>
  <si>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</si>
  <si>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</si>
  <si>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</si>
  <si>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</si>
  <si>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</si>
  <si>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</si>
  <si>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</si>
  <si>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</si>
  <si>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</si>
  <si>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</si>
  <si>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</si>
  <si>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</si>
  <si>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</si>
  <si>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</si>
  <si>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</si>
  <si>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</si>
  <si>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</si>
  <si>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</si>
  <si>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</si>
  <si>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</si>
  <si>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</si>
  <si>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</si>
  <si>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</si>
  <si>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</si>
  <si>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</si>
  <si>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</si>
  <si>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</si>
  <si>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</si>
  <si>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</si>
  <si>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</si>
  <si>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</si>
  <si>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</si>
  <si>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</si>
  <si>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</si>
  <si>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</si>
  <si>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</si>
  <si>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</si>
  <si>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</si>
  <si>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</si>
  <si>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</si>
  <si>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</si>
  <si>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</si>
  <si>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</si>
  <si>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</si>
  <si>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</si>
  <si>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</si>
  <si>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</si>
  <si>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</si>
  <si>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</si>
  <si>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</si>
  <si>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</si>
  <si>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</si>
  <si>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</si>
  <si>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</si>
  <si>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</si>
  <si>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</si>
  <si>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</si>
  <si>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</si>
  <si>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</si>
  <si>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</si>
  <si>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</si>
  <si>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</si>
  <si>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</si>
  <si>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</si>
  <si>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</si>
  <si>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</si>
  <si>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</si>
  <si>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</si>
  <si>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</si>
  <si>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</si>
  <si>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</si>
  <si>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</si>
  <si>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</si>
  <si>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</si>
  <si>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</si>
  <si>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</si>
  <si>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</si>
  <si>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</si>
  <si>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</si>
  <si>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</si>
  <si>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</si>
  <si>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</si>
  <si>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</si>
  <si>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</si>
  <si>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</si>
  <si>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</si>
  <si>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</si>
  <si>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</si>
  <si>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</si>
  <si>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</si>
  <si>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</si>
  <si>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</si>
  <si>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</si>
  <si>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</si>
  <si>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</si>
  <si>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</si>
  <si>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</si>
  <si>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</si>
  <si>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</si>
  <si>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</si>
  <si>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</si>
  <si>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</si>
  <si>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</si>
  <si>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</si>
  <si>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</si>
  <si>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</si>
  <si>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</si>
  <si>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</si>
  <si>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</si>
  <si>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</si>
  <si>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</si>
  <si>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</si>
  <si>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</si>
  <si>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</si>
  <si>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</si>
  <si>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</si>
  <si>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</si>
  <si>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</si>
  <si>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</si>
  <si>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</si>
  <si>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</si>
  <si>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</si>
  <si>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</si>
  <si>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</si>
  <si>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</si>
  <si>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</si>
  <si>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</si>
  <si>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</si>
  <si>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</si>
  <si>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</si>
  <si>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</si>
  <si>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</si>
  <si>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</si>
  <si>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</si>
  <si>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</si>
  <si>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</si>
  <si>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</si>
  <si>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</si>
  <si>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</si>
  <si>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</si>
  <si>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</si>
  <si>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</si>
  <si>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</si>
  <si>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</si>
  <si>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</si>
  <si>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</si>
  <si>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</si>
  <si>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</si>
  <si>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</si>
  <si>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</si>
  <si>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</si>
  <si>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</si>
  <si>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</si>
  <si>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</si>
  <si>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</si>
  <si>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</si>
  <si>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</si>
  <si>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</si>
  <si>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</si>
  <si>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</si>
  <si>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</si>
  <si>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</si>
  <si>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</si>
  <si>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</si>
  <si>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</si>
  <si>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</si>
  <si>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</si>
  <si>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</si>
  <si>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</si>
  <si>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</si>
  <si>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</si>
  <si>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</si>
  <si>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</si>
  <si>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</si>
  <si>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</si>
  <si>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</si>
  <si>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</si>
  <si>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</si>
  <si>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</si>
  <si>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</si>
  <si>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</si>
  <si>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</si>
  <si>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</si>
  <si>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</si>
  <si>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</si>
  <si>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</si>
  <si>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</si>
  <si>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</si>
  <si>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</si>
  <si>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</si>
  <si>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</si>
  <si>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</si>
  <si>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</si>
  <si>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</si>
  <si>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</si>
  <si>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</si>
  <si>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</si>
  <si>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</si>
  <si>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</si>
  <si>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</si>
  <si>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</si>
  <si>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</si>
  <si>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</si>
  <si>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</si>
  <si>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</si>
  <si>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</si>
  <si>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</si>
  <si>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</si>
  <si>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</si>
  <si>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</si>
  <si>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</si>
  <si>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</si>
  <si>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</si>
  <si>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</si>
  <si>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</si>
  <si>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</si>
  <si>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</si>
  <si>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</si>
  <si>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</si>
  <si>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</si>
  <si>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</si>
  <si>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</si>
  <si>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</si>
  <si>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</si>
  <si>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</si>
  <si>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</si>
  <si>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</si>
  <si>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</si>
  <si>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</si>
  <si>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</si>
  <si>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</si>
  <si>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</si>
  <si>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</si>
  <si>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</si>
  <si>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</si>
  <si>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</si>
  <si>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</si>
  <si>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</si>
  <si>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</si>
  <si>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</si>
  <si>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</si>
  <si>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</si>
  <si>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</si>
  <si>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</si>
  <si>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</si>
  <si>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</si>
  <si>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</si>
  <si>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</si>
  <si>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</si>
  <si>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</si>
  <si>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</si>
  <si>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</si>
  <si>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</si>
  <si>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</si>
  <si>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</si>
  <si>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</si>
  <si>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</si>
  <si>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</si>
  <si>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</si>
  <si>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</si>
  <si>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</si>
  <si>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</si>
  <si>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</si>
  <si>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</si>
  <si>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</si>
  <si>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</si>
  <si>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</si>
  <si>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</si>
  <si>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</si>
  <si>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</si>
  <si>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</si>
  <si>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</si>
  <si>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</si>
  <si>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</si>
  <si>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</si>
  <si>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</si>
  <si>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</si>
  <si>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</si>
  <si>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</si>
  <si>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</si>
  <si>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</si>
  <si>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</si>
  <si>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</si>
  <si>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</si>
  <si>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</si>
  <si>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</si>
  <si>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</si>
  <si>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</si>
  <si>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</si>
  <si>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</si>
  <si>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</si>
  <si>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</si>
  <si>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</si>
  <si>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</si>
  <si>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</si>
  <si>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</si>
  <si>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</si>
  <si>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</si>
  <si>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</si>
  <si>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</si>
  <si>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</si>
  <si>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</si>
  <si>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</si>
  <si>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</si>
  <si>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</si>
  <si>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</si>
  <si>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</si>
  <si>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</si>
  <si>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</si>
  <si>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</si>
  <si>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</si>
  <si>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</si>
  <si>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</si>
  <si>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</si>
  <si>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</si>
  <si>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</si>
  <si>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</si>
  <si>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</si>
  <si>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</si>
  <si>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</si>
  <si>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</si>
  <si>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</si>
  <si>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</si>
  <si>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</si>
  <si>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</si>
  <si>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</si>
  <si>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</si>
  <si>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</si>
  <si>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</si>
  <si>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</si>
  <si>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</si>
  <si>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</si>
  <si>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</si>
  <si>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</si>
  <si>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</si>
  <si>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</si>
  <si>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</si>
  <si>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</si>
  <si>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</si>
  <si>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</si>
  <si>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</si>
  <si>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</si>
  <si>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</si>
  <si>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</si>
  <si>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</si>
  <si>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</si>
  <si>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</si>
  <si>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</si>
  <si>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</si>
  <si>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</si>
  <si>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</si>
  <si>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</si>
  <si>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</si>
  <si>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</si>
  <si>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</si>
  <si>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</si>
  <si>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</si>
  <si>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</si>
  <si>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</si>
  <si>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</si>
  <si>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</si>
  <si>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</si>
  <si>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</si>
  <si>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</si>
  <si>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</si>
  <si>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</si>
  <si>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</si>
  <si>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</si>
  <si>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</si>
  <si>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</si>
  <si>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</si>
  <si>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</si>
  <si>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</si>
  <si>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</si>
  <si>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</si>
  <si>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</si>
  <si>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</si>
  <si>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</si>
  <si>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</si>
  <si>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</si>
  <si>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</si>
  <si>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</si>
  <si>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</si>
  <si>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</si>
  <si>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</si>
  <si>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</si>
  <si>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</si>
  <si>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</si>
  <si>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</si>
  <si>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</si>
  <si>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</si>
  <si>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</si>
  <si>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</si>
  <si>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</si>
  <si>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</si>
  <si>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</si>
  <si>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</si>
  <si>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</si>
  <si>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</si>
  <si>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</si>
  <si>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</si>
  <si>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</si>
  <si>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</si>
  <si>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</si>
  <si>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</si>
  <si>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</si>
  <si>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</si>
  <si>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</si>
  <si>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</si>
  <si>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</si>
  <si>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</si>
  <si>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</si>
  <si>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</si>
  <si>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</si>
  <si>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</si>
  <si>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</si>
  <si>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</si>
  <si>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</si>
  <si>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</si>
  <si>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</si>
  <si>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</si>
  <si>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</si>
  <si>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</si>
  <si>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</si>
  <si>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</si>
  <si>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</si>
  <si>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</si>
  <si>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</si>
  <si>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</si>
  <si>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</si>
  <si>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</si>
  <si>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</si>
  <si>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</si>
  <si>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</si>
  <si>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</si>
  <si>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</si>
  <si>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</si>
  <si>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</si>
  <si>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</si>
  <si>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</si>
  <si>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</si>
  <si>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</si>
  <si>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</si>
  <si>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</si>
  <si>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</si>
  <si>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</si>
  <si>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</si>
  <si>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</si>
  <si>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</si>
  <si>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</si>
  <si>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</si>
  <si>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</si>
  <si>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</si>
  <si>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</si>
  <si>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</si>
  <si>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</si>
  <si>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</si>
  <si>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</si>
  <si>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</si>
  <si>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</si>
  <si>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</si>
  <si>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</si>
  <si>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</si>
  <si>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</si>
  <si>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</si>
  <si>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</si>
  <si>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</si>
  <si>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</si>
  <si>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</si>
  <si>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</si>
  <si>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</si>
  <si>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</si>
  <si>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</si>
  <si>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</si>
  <si>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</si>
  <si>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</si>
  <si>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</si>
  <si>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</si>
  <si>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</si>
  <si>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</si>
  <si>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</si>
  <si>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</si>
  <si>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</si>
  <si>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</si>
  <si>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</si>
  <si>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</si>
  <si>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</si>
  <si>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</si>
  <si>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</si>
  <si>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</si>
  <si>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</si>
  <si>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</si>
  <si>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</si>
  <si>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</si>
  <si>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</si>
  <si>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</si>
  <si>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</si>
  <si>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</si>
  <si>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</si>
  <si>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</si>
  <si>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</si>
  <si>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</si>
  <si>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</si>
  <si>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</si>
  <si>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</si>
  <si>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</si>
  <si>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</si>
  <si>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</si>
  <si>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</si>
  <si>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</si>
  <si>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</si>
  <si>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</si>
  <si>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</si>
  <si>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</si>
  <si>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</si>
  <si>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</si>
  <si>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</si>
  <si>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</si>
  <si>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</si>
  <si>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</si>
  <si>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</si>
  <si>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</si>
  <si>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</si>
  <si>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</si>
  <si>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</si>
  <si>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</si>
  <si>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</si>
  <si>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</si>
  <si>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</si>
  <si>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</si>
  <si>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</si>
  <si>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</si>
  <si>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</si>
  <si>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</si>
  <si>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</si>
  <si>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</si>
  <si>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</si>
  <si>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</si>
  <si>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</si>
  <si>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</si>
  <si>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</si>
  <si>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</si>
  <si>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</si>
  <si>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</si>
  <si>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</si>
  <si>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</si>
  <si>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</si>
  <si>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</si>
  <si>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</si>
  <si>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</si>
  <si>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</si>
  <si>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</si>
  <si>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</si>
  <si>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</si>
  <si>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</si>
  <si>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</si>
  <si>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</si>
  <si>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</si>
  <si>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</si>
  <si>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</si>
  <si>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</si>
  <si>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</si>
  <si>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</si>
  <si>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</si>
  <si>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</si>
  <si>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</si>
  <si>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</si>
  <si>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</si>
  <si>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</si>
  <si>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</si>
  <si>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</si>
  <si>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</si>
  <si>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</si>
  <si>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</si>
  <si>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</si>
  <si>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</si>
  <si>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</si>
  <si>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</si>
  <si>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</si>
  <si>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</si>
  <si>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</si>
  <si>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</si>
  <si>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</si>
  <si>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</si>
  <si>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</si>
  <si>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</si>
  <si>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</si>
  <si>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</si>
  <si>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</si>
  <si>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</si>
  <si>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</si>
  <si>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</si>
  <si>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</si>
  <si>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</si>
  <si>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</si>
  <si>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</si>
  <si>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</si>
  <si>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</si>
  <si>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</si>
  <si>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</si>
  <si>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</si>
  <si>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</si>
  <si>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</si>
  <si>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</si>
  <si>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</si>
  <si>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</si>
  <si>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</si>
  <si>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</si>
  <si>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</si>
  <si>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</si>
  <si>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</si>
  <si>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</si>
  <si>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</si>
  <si>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</si>
  <si>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</si>
  <si>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</si>
  <si>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</si>
  <si>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</si>
  <si>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</si>
  <si>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</si>
  <si>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</si>
  <si>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</si>
  <si>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</si>
  <si>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</si>
  <si>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</si>
  <si>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</si>
  <si>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</si>
  <si>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</si>
  <si>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</si>
  <si>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</si>
  <si>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</si>
  <si>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</si>
  <si>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</si>
  <si>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</si>
  <si>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</si>
  <si>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</si>
  <si>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</si>
  <si>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</si>
  <si>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</si>
  <si>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</si>
  <si>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</si>
  <si>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</si>
  <si>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</si>
  <si>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</si>
  <si>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</si>
  <si>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</si>
  <si>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</si>
  <si>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</si>
  <si>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</si>
  <si>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</si>
  <si>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</si>
  <si>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</si>
  <si>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</si>
  <si>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</si>
  <si>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</si>
  <si>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</si>
  <si>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</si>
  <si>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</si>
  <si>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</si>
  <si>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</si>
  <si>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</si>
  <si>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</si>
  <si>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</si>
  <si>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</si>
  <si>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</si>
  <si>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</si>
  <si>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</si>
  <si>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</si>
  <si>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</si>
  <si>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</si>
  <si>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</si>
  <si>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</si>
  <si>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</si>
  <si>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</si>
  <si>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</si>
  <si>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</si>
  <si>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</si>
  <si>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</si>
  <si>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</si>
  <si>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</si>
  <si>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</si>
  <si>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</si>
  <si>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</si>
  <si>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</si>
  <si>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</si>
  <si>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</si>
  <si>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</si>
  <si>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</si>
  <si>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</si>
  <si>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</si>
  <si>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</si>
  <si>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</si>
  <si>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</si>
  <si>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</si>
  <si>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</si>
  <si>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</si>
  <si>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</si>
  <si>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</si>
  <si>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</si>
  <si>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</si>
  <si>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</si>
  <si>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</si>
  <si>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</si>
  <si>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</si>
  <si>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</si>
  <si>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</si>
  <si>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</si>
  <si>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</si>
  <si>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</si>
  <si>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</si>
  <si>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</si>
  <si>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</si>
  <si>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</si>
  <si>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</si>
  <si>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</si>
  <si>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</si>
  <si>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</si>
  <si>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</si>
  <si>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</si>
  <si>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</si>
  <si>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</si>
  <si>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</si>
  <si>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</si>
  <si>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</si>
  <si>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</si>
  <si>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</si>
  <si>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</si>
  <si>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</si>
  <si>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</si>
  <si>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</si>
  <si>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</si>
  <si>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</si>
  <si>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</si>
  <si>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</si>
  <si>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</si>
  <si>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</si>
  <si>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</si>
  <si>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</si>
  <si>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</si>
  <si>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</si>
  <si>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</si>
  <si>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</si>
  <si>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</si>
  <si>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</si>
  <si>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</si>
  <si>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</si>
  <si>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</si>
  <si>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</si>
  <si>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</si>
  <si>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</si>
  <si>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</si>
  <si>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</si>
  <si>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</si>
  <si>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</si>
  <si>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</si>
  <si>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</si>
  <si>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</si>
  <si>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</si>
  <si>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</si>
  <si>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</si>
  <si>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</si>
  <si>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</si>
  <si>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</si>
  <si>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</si>
  <si>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</si>
  <si>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</si>
  <si>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</si>
  <si>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</si>
  <si>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</si>
  <si>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</si>
  <si>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</si>
  <si>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</si>
  <si>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</si>
  <si>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</si>
  <si>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</si>
  <si>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</si>
  <si>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</si>
  <si>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</si>
  <si>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</si>
  <si>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</si>
  <si>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</si>
  <si>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</si>
  <si>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</si>
  <si>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</si>
  <si>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</si>
  <si>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</si>
  <si>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</si>
  <si>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</si>
  <si>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</si>
  <si>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</si>
  <si>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</si>
  <si>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</si>
  <si>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</si>
  <si>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</si>
  <si>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</si>
  <si>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</si>
  <si>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</si>
  <si>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</si>
  <si>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</si>
  <si>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</si>
  <si>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</si>
  <si>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</si>
  <si>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</si>
  <si>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</si>
  <si>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</si>
  <si>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</si>
  <si>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</si>
  <si>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</si>
  <si>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</si>
  <si>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</si>
  <si>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</si>
  <si>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</si>
  <si>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</si>
  <si>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</si>
  <si>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</si>
  <si>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</si>
  <si>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</si>
  <si>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</si>
  <si>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</si>
  <si>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</si>
  <si>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</si>
  <si>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</si>
  <si>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</si>
  <si>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</si>
  <si>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</si>
  <si>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</si>
  <si>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</si>
  <si>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</si>
  <si>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</si>
  <si>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</si>
  <si>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</si>
  <si>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</si>
  <si>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</si>
  <si>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</si>
  <si>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</si>
  <si>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</si>
  <si>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</si>
  <si>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</si>
  <si>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</si>
  <si>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</si>
  <si>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</si>
  <si>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</si>
  <si>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</si>
  <si>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</si>
  <si>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</si>
  <si>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</si>
  <si>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</si>
  <si>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</si>
  <si>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</si>
  <si>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</si>
  <si>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</si>
  <si>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</si>
  <si>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</si>
  <si>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</si>
  <si>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</si>
  <si>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</si>
  <si>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</si>
  <si>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</si>
  <si>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</si>
  <si>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</si>
  <si>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</si>
  <si>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</si>
  <si>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</si>
  <si>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</si>
  <si>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</si>
  <si>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</si>
  <si>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</si>
  <si>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</si>
  <si>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</si>
  <si>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</si>
  <si>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</si>
  <si>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</si>
  <si>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</si>
  <si>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</si>
  <si>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</si>
  <si>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</si>
  <si>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</si>
  <si>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</si>
  <si>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</si>
  <si>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</si>
  <si>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</si>
  <si>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</si>
  <si>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</si>
  <si>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</si>
  <si>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</si>
  <si>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</si>
  <si>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</si>
  <si>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</si>
  <si>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</si>
  <si>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</si>
  <si>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</si>
  <si>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</si>
  <si>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</si>
  <si>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</si>
  <si>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</si>
  <si>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</si>
  <si>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</si>
  <si>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</si>
  <si>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</si>
  <si>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</si>
  <si>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</si>
  <si>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</si>
  <si>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</si>
  <si>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</si>
  <si>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</si>
  <si>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</si>
  <si>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</si>
  <si>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</si>
  <si>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</si>
  <si>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</si>
  <si>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</si>
  <si>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</si>
  <si>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</si>
  <si>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</si>
  <si>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</si>
  <si>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</si>
  <si>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</si>
  <si>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</si>
  <si>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</si>
  <si>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</si>
  <si>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</si>
  <si>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</si>
  <si>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</si>
  <si>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</si>
  <si>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</si>
  <si>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</si>
  <si>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</si>
  <si>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</si>
  <si>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</si>
  <si>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</si>
  <si>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</si>
  <si>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</si>
  <si>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</si>
  <si>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</si>
  <si>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</si>
  <si>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</si>
  <si>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</si>
  <si>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</si>
  <si>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</si>
  <si>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</si>
  <si>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</si>
  <si>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</si>
  <si>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</si>
  <si>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</si>
  <si>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</si>
  <si>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</si>
  <si>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</si>
  <si>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</si>
  <si>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</si>
  <si>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</si>
  <si>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</si>
  <si>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</si>
  <si>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</si>
  <si>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</si>
  <si>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</si>
  <si>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</si>
  <si>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</si>
  <si>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</si>
  <si>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</si>
  <si>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</si>
  <si>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</si>
  <si>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</si>
  <si>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</si>
  <si>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</si>
  <si>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</si>
  <si>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</si>
  <si>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</si>
  <si>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</si>
  <si>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</si>
  <si>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</si>
  <si>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</si>
  <si>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</si>
  <si>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</si>
  <si>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</si>
  <si>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</si>
  <si>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</si>
  <si>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</si>
  <si>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</si>
  <si>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</si>
  <si>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</si>
  <si>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</si>
  <si>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</si>
  <si>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</si>
  <si>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</si>
  <si>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</si>
  <si>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</si>
  <si>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</si>
  <si>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</si>
  <si>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</si>
  <si>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</si>
  <si>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</si>
  <si>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</si>
  <si>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</si>
  <si>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</si>
  <si>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</si>
  <si>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</si>
  <si>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</si>
  <si>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</si>
  <si>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</si>
  <si>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</si>
  <si>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</si>
  <si>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</si>
  <si>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</si>
  <si>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</si>
  <si>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</si>
  <si>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</si>
  <si>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</si>
  <si>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</si>
  <si>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</si>
  <si>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</si>
  <si>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</si>
  <si>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</si>
  <si>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</si>
  <si>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</si>
  <si>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</si>
  <si>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</si>
  <si>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</si>
  <si>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</si>
  <si>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</si>
  <si>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</si>
  <si>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</si>
  <si>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</si>
  <si>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</si>
  <si>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</si>
  <si>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</si>
  <si>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</si>
  <si>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</si>
  <si>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</si>
  <si>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</si>
  <si>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</si>
  <si>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</si>
  <si>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</si>
  <si>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</si>
  <si>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</si>
  <si>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</si>
  <si>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</si>
  <si>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</si>
  <si>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</si>
  <si>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</si>
  <si>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</si>
  <si>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</si>
  <si>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</si>
  <si>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</si>
  <si>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</si>
  <si>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</si>
  <si>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</si>
  <si>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</si>
  <si>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</si>
  <si>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</si>
  <si>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</si>
  <si>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</si>
  <si>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</si>
  <si>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</si>
  <si>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</si>
  <si>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</si>
  <si>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</si>
  <si>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</si>
  <si>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</si>
  <si>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</si>
  <si>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</si>
  <si>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</si>
  <si>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</si>
  <si>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</si>
  <si>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</si>
  <si>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</si>
  <si>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</si>
  <si>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</si>
  <si>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</si>
  <si>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</si>
  <si>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</si>
  <si>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</si>
  <si>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</si>
  <si>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</si>
  <si>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</si>
  <si>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</si>
  <si>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</si>
  <si>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</si>
  <si>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</si>
  <si>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</si>
  <si>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</si>
  <si>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</si>
  <si>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</si>
  <si>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</si>
  <si>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</si>
  <si>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</si>
  <si>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</si>
  <si>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</si>
  <si>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</si>
  <si>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</si>
  <si>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</si>
  <si>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</si>
  <si>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</si>
  <si>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</si>
  <si>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</si>
  <si>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</si>
  <si>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</si>
  <si>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</si>
  <si>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</si>
  <si>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</si>
  <si>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</si>
  <si>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</si>
  <si>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</si>
  <si>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</si>
  <si>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</si>
  <si>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</si>
  <si>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</si>
  <si>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</si>
  <si>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</si>
  <si>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</si>
  <si>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</si>
  <si>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</si>
  <si>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</si>
  <si>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</si>
  <si>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</si>
  <si>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</si>
  <si>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</si>
  <si>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</si>
  <si>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</si>
  <si>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</si>
  <si>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</si>
  <si>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</si>
  <si>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</si>
  <si>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</si>
  <si>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</si>
  <si>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</si>
  <si>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</si>
  <si>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</si>
  <si>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</si>
  <si>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</si>
  <si>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</si>
  <si>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</si>
  <si>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</si>
  <si>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</si>
  <si>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</si>
  <si>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</si>
  <si>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</si>
  <si>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</si>
  <si>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</si>
  <si>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</si>
  <si>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</si>
  <si>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</si>
  <si>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</si>
  <si>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</si>
  <si>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</si>
  <si>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</si>
  <si>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</si>
  <si>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</si>
  <si>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</si>
  <si>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</si>
  <si>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</si>
  <si>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</si>
  <si>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</si>
  <si>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</si>
  <si>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</si>
  <si>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</si>
  <si>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</si>
  <si>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</si>
  <si>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</si>
  <si>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</si>
  <si>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</si>
  <si>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</si>
  <si>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</si>
  <si>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</si>
  <si>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</si>
  <si>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</si>
  <si>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</si>
  <si>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</si>
  <si>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</si>
  <si>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</si>
  <si>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</si>
  <si>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</si>
  <si>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</si>
  <si>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</si>
  <si>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</si>
  <si>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</si>
  <si>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</si>
  <si>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</si>
  <si>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</si>
  <si>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</si>
  <si>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</si>
  <si>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</si>
  <si>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</si>
  <si>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</si>
  <si>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</si>
  <si>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</si>
  <si>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</si>
  <si>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</si>
  <si>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</si>
  <si>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</si>
  <si>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</si>
  <si>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</si>
  <si>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</si>
  <si>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</si>
  <si>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</si>
  <si>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</si>
  <si>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</si>
  <si>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</si>
  <si>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</si>
  <si>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</si>
  <si>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</si>
  <si>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</si>
  <si>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</si>
  <si>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</si>
  <si>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</si>
  <si>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</si>
  <si>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</si>
  <si>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</si>
  <si>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</si>
  <si>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</si>
  <si>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</si>
  <si>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</si>
  <si>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</si>
  <si>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</si>
  <si>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</si>
  <si>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</si>
  <si>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</si>
  <si>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</si>
  <si>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</si>
  <si>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</si>
  <si>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</si>
  <si>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</si>
  <si>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</si>
  <si>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</si>
  <si>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</si>
  <si>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</si>
  <si>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</si>
  <si>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</si>
  <si>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</si>
  <si>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</si>
  <si>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</si>
  <si>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</si>
  <si>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</si>
  <si>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</si>
  <si>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</si>
  <si>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</si>
  <si>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</si>
  <si>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</si>
  <si>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</si>
  <si>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</si>
  <si>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</si>
  <si>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</si>
  <si>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</si>
  <si>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</si>
  <si>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</si>
  <si>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</si>
  <si>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</si>
  <si>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</si>
  <si>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</si>
  <si>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</si>
  <si>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</si>
  <si>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</si>
  <si>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</si>
  <si>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</si>
  <si>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</si>
  <si>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</si>
  <si>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</si>
  <si>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</si>
  <si>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</si>
  <si>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</si>
  <si>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</si>
  <si>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</si>
  <si>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</si>
  <si>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</si>
  <si>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</si>
  <si>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</si>
  <si>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</si>
  <si>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</si>
  <si>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</si>
  <si>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</si>
  <si>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</si>
  <si>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</si>
  <si>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</si>
  <si>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</si>
  <si>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</si>
  <si>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</si>
  <si>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</si>
  <si>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</si>
  <si>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</si>
  <si>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</si>
  <si>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</si>
  <si>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</si>
  <si>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</si>
  <si>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</si>
  <si>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</si>
  <si>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</si>
  <si>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</si>
  <si>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</si>
  <si>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</si>
  <si>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</si>
  <si>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</si>
  <si>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</si>
  <si>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</si>
  <si>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</si>
  <si>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</si>
  <si>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</si>
  <si>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</si>
  <si>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</si>
  <si>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</si>
  <si>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</si>
  <si>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</si>
  <si>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</si>
  <si>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</si>
  <si>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</si>
  <si>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</si>
  <si>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</si>
  <si>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</si>
  <si>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</si>
  <si>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</si>
  <si>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</si>
  <si>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</si>
  <si>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</si>
  <si>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</si>
  <si>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</si>
  <si>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</si>
  <si>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</si>
  <si>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</si>
  <si>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</si>
  <si>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</si>
  <si>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</si>
  <si>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</si>
  <si>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</si>
  <si>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</si>
  <si>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</si>
  <si>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</si>
  <si>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</si>
  <si>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</si>
  <si>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</si>
  <si>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</si>
  <si>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</si>
  <si>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</si>
  <si>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</si>
  <si>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</si>
  <si>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</si>
  <si>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</si>
  <si>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</si>
  <si>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</si>
  <si>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</si>
  <si>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</si>
  <si>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</si>
  <si>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</si>
  <si>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</si>
  <si>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</si>
  <si>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</si>
  <si>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</si>
  <si>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</si>
  <si>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</si>
  <si>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</si>
  <si>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</si>
  <si>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</si>
  <si>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</si>
  <si>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</si>
  <si>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</si>
  <si>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</si>
  <si>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</si>
  <si>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</si>
  <si>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</si>
  <si>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</si>
  <si>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</si>
  <si>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</si>
  <si>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</si>
  <si>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</si>
  <si>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</si>
  <si>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</si>
  <si>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</si>
  <si>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</si>
  <si>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</si>
  <si>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</si>
  <si>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</si>
  <si>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</si>
  <si>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</si>
  <si>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</si>
  <si>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</si>
  <si>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</si>
  <si>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</si>
  <si>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</si>
  <si>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</si>
  <si>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</si>
  <si>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</si>
  <si>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</si>
  <si>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</si>
  <si>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</si>
  <si>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</si>
  <si>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</si>
  <si>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</si>
  <si>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</si>
  <si>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</si>
  <si>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</si>
  <si>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</si>
  <si>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</si>
  <si>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</si>
  <si>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</si>
  <si>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</si>
  <si>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</si>
  <si>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</si>
  <si>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</si>
  <si>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</si>
  <si>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</si>
  <si>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</si>
  <si>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</si>
  <si>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</si>
  <si>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</si>
  <si>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</si>
  <si>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</si>
  <si>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</si>
  <si>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</si>
  <si>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</si>
  <si>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</si>
  <si>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</si>
  <si>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</si>
  <si>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</si>
  <si>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</si>
  <si>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</si>
  <si>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</si>
  <si>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</si>
  <si>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</si>
  <si>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</si>
  <si>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</si>
  <si>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</si>
  <si>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</si>
  <si>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</si>
  <si>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</si>
  <si>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</si>
  <si>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</si>
  <si>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</si>
  <si>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</si>
  <si>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</si>
  <si>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</si>
  <si>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</si>
  <si>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</si>
  <si>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</si>
  <si>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</si>
  <si>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</si>
  <si>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</si>
  <si>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</si>
  <si>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</si>
  <si>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</si>
  <si>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</si>
  <si>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</si>
  <si>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</si>
  <si>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</si>
  <si>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</si>
  <si>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</si>
  <si>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</si>
  <si>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</si>
  <si>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</si>
  <si>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</si>
  <si>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</si>
  <si>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</si>
  <si>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</si>
  <si>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</si>
  <si>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</si>
  <si>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</si>
  <si>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</si>
  <si>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</si>
  <si>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</si>
  <si>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</si>
  <si>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</si>
  <si>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</si>
  <si>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</si>
  <si>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</si>
  <si>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</si>
  <si>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</si>
  <si>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</si>
  <si>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</si>
  <si>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</si>
  <si>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</si>
  <si>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</si>
  <si>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</si>
  <si>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</si>
  <si>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</si>
  <si>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</si>
  <si>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</si>
  <si>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</si>
  <si>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</si>
  <si>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</si>
  <si>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</si>
  <si>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</si>
  <si>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</si>
  <si>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</si>
  <si>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</si>
  <si>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</si>
  <si>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</si>
  <si>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</si>
  <si>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</si>
  <si>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</si>
  <si>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</si>
  <si>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</si>
  <si>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</si>
  <si>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</si>
  <si>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</si>
  <si>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</si>
  <si>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</si>
  <si>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</si>
  <si>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</si>
  <si>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</si>
  <si>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</si>
  <si>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</si>
  <si>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</si>
  <si>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</si>
  <si>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</si>
  <si>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</si>
  <si>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</si>
  <si>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</si>
  <si>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</si>
  <si>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</si>
  <si>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</si>
  <si>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</si>
  <si>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</si>
  <si>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</si>
  <si>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</si>
  <si>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</si>
  <si>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</si>
  <si>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</si>
  <si>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</si>
  <si>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</si>
  <si>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</si>
  <si>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</si>
  <si>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</si>
  <si>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</si>
  <si>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</si>
  <si>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</si>
  <si>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</si>
  <si>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</si>
  <si>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</si>
  <si>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</si>
  <si>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</si>
  <si>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</si>
  <si>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</si>
  <si>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</si>
  <si>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</si>
  <si>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</si>
  <si>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</si>
  <si>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</si>
  <si>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</si>
  <si>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</si>
  <si>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</si>
  <si>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</si>
  <si>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</si>
  <si>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</si>
  <si>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</si>
  <si>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</si>
  <si>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</si>
  <si>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</si>
  <si>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</si>
  <si>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</si>
  <si>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</si>
  <si>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</si>
  <si>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</si>
  <si>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</si>
  <si>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</si>
  <si>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</si>
  <si>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</si>
  <si>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</si>
  <si>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</si>
  <si>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</si>
  <si>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</si>
  <si>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</si>
  <si>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</si>
  <si>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</si>
  <si>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</si>
  <si>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</si>
  <si>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</si>
  <si>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</si>
  <si>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</si>
  <si>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</si>
  <si>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</si>
  <si>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</si>
  <si>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</si>
  <si>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</si>
  <si>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</si>
  <si>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</si>
  <si>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</si>
  <si>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</si>
  <si>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</si>
  <si>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</si>
  <si>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</si>
  <si>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</si>
  <si>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</si>
  <si>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</si>
  <si>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</si>
  <si>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</si>
  <si>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</si>
  <si>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</si>
  <si>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</si>
  <si>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</si>
  <si>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</si>
  <si>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</si>
  <si>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</si>
  <si>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</si>
  <si>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</si>
  <si>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</si>
  <si>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</si>
  <si>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</si>
  <si>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</si>
  <si>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</si>
  <si>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</si>
  <si>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</si>
  <si>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</si>
  <si>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</si>
  <si>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</si>
  <si>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</si>
  <si>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</si>
  <si>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</si>
  <si>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</si>
  <si>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</si>
  <si>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</si>
  <si>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</si>
  <si>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</si>
  <si>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</si>
  <si>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</si>
  <si>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</si>
  <si>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</si>
  <si>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</si>
  <si>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</si>
  <si>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</si>
  <si>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</si>
  <si>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</si>
  <si>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</si>
  <si>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</si>
  <si>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</si>
  <si>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</si>
  <si>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</si>
  <si>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</si>
  <si>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</si>
  <si>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</si>
  <si>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</si>
  <si>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</si>
  <si>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</si>
  <si>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</si>
  <si>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</si>
  <si>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</si>
  <si>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</si>
  <si>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</si>
  <si>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</si>
  <si>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</si>
  <si>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</si>
  <si>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</si>
  <si>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</si>
  <si>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</si>
  <si>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</si>
  <si>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</si>
  <si>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</si>
  <si>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</si>
  <si>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</si>
  <si>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</si>
  <si>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</si>
  <si>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</si>
  <si>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</si>
  <si>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</si>
  <si>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</si>
  <si>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</si>
  <si>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</si>
  <si>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</si>
  <si>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</si>
  <si>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</si>
  <si>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</si>
  <si>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</si>
  <si>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</si>
  <si>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</si>
  <si>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</si>
  <si>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</si>
  <si>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</si>
  <si>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</si>
  <si>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</si>
  <si>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</si>
  <si>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</si>
  <si>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</si>
  <si>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</si>
  <si>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</si>
  <si>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</si>
  <si>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</si>
  <si>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</si>
  <si>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</si>
  <si>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</si>
  <si>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</si>
  <si>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</si>
  <si>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</si>
  <si>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</si>
  <si>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</si>
  <si>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</si>
  <si>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</si>
  <si>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</si>
  <si>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</si>
  <si>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</si>
  <si>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</si>
  <si>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</si>
  <si>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</si>
  <si>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</si>
  <si>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</si>
  <si>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</si>
  <si>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</si>
  <si>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</si>
  <si>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</si>
  <si>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</si>
  <si>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</si>
  <si>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</si>
  <si>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</si>
  <si>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</si>
  <si>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</si>
  <si>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</si>
  <si>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</si>
  <si>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</si>
  <si>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</si>
  <si>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</si>
  <si>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</si>
  <si>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</si>
  <si>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</si>
  <si>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</si>
  <si>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</si>
  <si>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</si>
  <si>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</si>
  <si>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</si>
  <si>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</si>
  <si>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</si>
  <si>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</si>
  <si>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</si>
  <si>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</si>
  <si>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</si>
  <si>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</si>
  <si>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</si>
  <si>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</si>
  <si>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</si>
  <si>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</si>
  <si>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</si>
  <si>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</si>
  <si>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</si>
  <si>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</si>
  <si>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</si>
  <si>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</si>
  <si>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</si>
  <si>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</si>
  <si>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</si>
  <si>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</si>
  <si>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</si>
  <si>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</si>
  <si>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</si>
  <si>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</si>
  <si>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</si>
  <si>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</si>
  <si>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</si>
  <si>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</si>
  <si>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</si>
  <si>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</si>
  <si>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</si>
  <si>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</si>
  <si>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</si>
  <si>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</si>
  <si>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</si>
  <si>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</si>
  <si>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</si>
  <si>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</si>
  <si>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</si>
  <si>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</si>
  <si>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</si>
  <si>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</si>
  <si>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</si>
  <si>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</si>
  <si>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</si>
  <si>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</si>
  <si>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</si>
  <si>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</si>
  <si>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</si>
  <si>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</si>
  <si>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</si>
  <si>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</si>
  <si>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</si>
  <si>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</si>
  <si>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</si>
  <si>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</si>
  <si>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</si>
  <si>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</si>
  <si>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</si>
  <si>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</si>
  <si>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</si>
  <si>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</si>
  <si>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</si>
  <si>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</si>
  <si>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</si>
  <si>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</si>
  <si>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</si>
  <si>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</si>
  <si>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</si>
  <si>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</si>
  <si>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</si>
  <si>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</si>
  <si>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</si>
  <si>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</si>
  <si>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</si>
  <si>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</si>
  <si>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</si>
  <si>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</si>
  <si>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</si>
  <si>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</si>
  <si>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</si>
  <si>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</si>
  <si>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</si>
  <si>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</si>
  <si>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</si>
  <si>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</si>
  <si>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</si>
  <si>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</si>
  <si>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</si>
  <si>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</si>
  <si>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</si>
  <si>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</si>
  <si>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</si>
  <si>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</si>
  <si>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</si>
  <si>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</si>
  <si>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</si>
  <si>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</si>
  <si>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</si>
  <si>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</si>
  <si>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</si>
  <si>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</si>
  <si>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</si>
  <si>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</si>
  <si>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</si>
  <si>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</si>
  <si>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</si>
  <si>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</si>
  <si>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</si>
  <si>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</si>
  <si>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</si>
  <si>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</si>
  <si>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</si>
  <si>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</si>
  <si>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</si>
  <si>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</si>
  <si>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</si>
  <si>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</si>
  <si>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</si>
  <si>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</si>
  <si>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</si>
  <si>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</si>
  <si>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</si>
  <si>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</si>
  <si>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</si>
  <si>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</si>
  <si>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</si>
  <si>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</si>
  <si>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</si>
  <si>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</si>
  <si>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</si>
  <si>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</si>
  <si>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</si>
  <si>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</si>
  <si>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</si>
  <si>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</si>
  <si>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</si>
  <si>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</si>
  <si>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</si>
  <si>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</si>
  <si>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</si>
  <si>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</si>
  <si>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</si>
  <si>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</si>
  <si>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</si>
  <si>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</si>
  <si>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</si>
  <si>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</si>
  <si>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</si>
  <si>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</si>
  <si>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</si>
  <si>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</si>
  <si>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</si>
  <si>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</si>
  <si>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</si>
  <si>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</si>
  <si>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</si>
  <si>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</si>
  <si>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</si>
  <si>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</si>
  <si>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</si>
  <si>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</si>
  <si>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</si>
  <si>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</si>
  <si>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</si>
  <si>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</si>
  <si>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</si>
  <si>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</si>
  <si>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</si>
  <si>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</si>
  <si>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</si>
  <si>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</si>
  <si>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</si>
  <si>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</si>
  <si>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</si>
  <si>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</si>
  <si>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</si>
  <si>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</si>
  <si>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</si>
  <si>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</si>
  <si>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</si>
  <si>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</si>
  <si>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</si>
  <si>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</si>
  <si>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</si>
  <si>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</si>
  <si>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</si>
  <si>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</si>
  <si>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</si>
  <si>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</si>
  <si>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</si>
  <si>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</si>
  <si>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</si>
  <si>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</si>
  <si>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</si>
  <si>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</si>
  <si>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</si>
  <si>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</si>
  <si>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</si>
  <si>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</si>
  <si>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</si>
  <si>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</si>
  <si>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</si>
  <si>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</si>
  <si>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</si>
  <si>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</si>
  <si>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</si>
  <si>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</si>
  <si>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</si>
  <si>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</si>
  <si>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</si>
  <si>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</si>
  <si>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</si>
  <si>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</si>
  <si>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</si>
  <si>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</si>
  <si>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</si>
  <si>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</si>
  <si>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</si>
  <si>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</si>
  <si>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</si>
  <si>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</si>
  <si>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</si>
  <si>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</si>
  <si>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</si>
  <si>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</si>
  <si>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</si>
  <si>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</si>
  <si>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</si>
  <si>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</si>
  <si>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</si>
  <si>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</si>
  <si>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</si>
  <si>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</si>
  <si>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</si>
  <si>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</si>
  <si>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</si>
  <si>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</si>
  <si>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</si>
  <si>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</si>
  <si>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</si>
  <si>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</si>
  <si>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</si>
  <si>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</si>
  <si>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</si>
  <si>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</si>
  <si>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</si>
  <si>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</si>
  <si>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</si>
  <si>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</si>
  <si>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</si>
  <si>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</si>
  <si>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</si>
  <si>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</si>
  <si>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</si>
  <si>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</si>
  <si>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</si>
  <si>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</si>
  <si>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</si>
  <si>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</si>
  <si>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</si>
  <si>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</si>
  <si>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</si>
  <si>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</si>
  <si>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</si>
  <si>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</si>
  <si>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</si>
  <si>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</si>
  <si>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</si>
  <si>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</si>
  <si>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</si>
  <si>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</si>
  <si>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</si>
  <si>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</si>
  <si>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</si>
  <si>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</si>
  <si>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</si>
  <si>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</si>
  <si>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</si>
  <si>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</si>
  <si>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</si>
  <si>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</si>
  <si>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</si>
  <si>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</si>
  <si>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</si>
  <si>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</si>
  <si>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</si>
  <si>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</si>
  <si>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</si>
  <si>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</si>
  <si>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</si>
  <si>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</si>
  <si>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</si>
  <si>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</si>
  <si>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</si>
  <si>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</si>
  <si>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</si>
  <si>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</si>
  <si>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</si>
  <si>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</si>
  <si>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</si>
  <si>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</si>
  <si>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</si>
  <si>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</si>
  <si>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</si>
  <si>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</si>
  <si>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</si>
  <si>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</si>
  <si>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</si>
  <si>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</si>
  <si>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</si>
  <si>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</si>
  <si>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</si>
  <si>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</si>
  <si>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</si>
  <si>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</si>
  <si>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</si>
  <si>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</si>
  <si>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</si>
  <si>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</si>
  <si>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</si>
  <si>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</si>
  <si>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</si>
  <si>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</si>
  <si>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</si>
  <si>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</si>
  <si>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</si>
  <si>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</si>
  <si>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</si>
  <si>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</si>
  <si>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</si>
  <si>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</si>
  <si>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</si>
  <si>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</si>
  <si>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</si>
  <si>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</si>
  <si>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</si>
  <si>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</si>
  <si>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</si>
  <si>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</si>
  <si>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</si>
  <si>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</si>
  <si>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</si>
  <si>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</si>
  <si>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</si>
  <si>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</si>
  <si>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</si>
  <si>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</si>
  <si>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</si>
  <si>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</si>
  <si>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</si>
  <si>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</si>
  <si>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</si>
  <si>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</si>
  <si>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</si>
  <si>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</si>
  <si>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</si>
  <si>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</si>
  <si>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</si>
  <si>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</si>
  <si>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</si>
  <si>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</si>
  <si>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</si>
  <si>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</si>
  <si>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</si>
  <si>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</si>
  <si>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</si>
  <si>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</si>
  <si>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</si>
  <si>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</si>
  <si>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</si>
  <si>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</si>
  <si>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</si>
  <si>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</si>
  <si>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</si>
  <si>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</si>
  <si>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</si>
  <si>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</si>
  <si>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</si>
  <si>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</si>
  <si>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</si>
  <si>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</si>
  <si>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</si>
  <si>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</si>
  <si>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</si>
  <si>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</si>
  <si>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</si>
  <si>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</si>
  <si>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</si>
  <si>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</si>
  <si>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</si>
  <si>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</si>
  <si>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</si>
  <si>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</si>
  <si>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</si>
  <si>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</si>
  <si>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</si>
  <si>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</si>
  <si>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</si>
  <si>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</si>
  <si>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</si>
  <si>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</si>
  <si>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</si>
  <si>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</si>
  <si>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</si>
  <si>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</si>
  <si>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</si>
  <si>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</si>
  <si>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</si>
  <si>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</si>
  <si>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</si>
  <si>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</si>
  <si>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</si>
  <si>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</si>
  <si>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</si>
  <si>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</si>
  <si>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</si>
  <si>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</si>
  <si>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</si>
  <si>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</si>
  <si>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</si>
  <si>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</si>
  <si>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</si>
  <si>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</si>
  <si>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</si>
  <si>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</si>
  <si>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</si>
  <si>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</si>
  <si>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</si>
  <si>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</si>
  <si>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</si>
  <si>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</si>
  <si>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</si>
  <si>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</si>
  <si>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</si>
  <si>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</si>
  <si>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</si>
  <si>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</si>
  <si>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</si>
  <si>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</si>
  <si>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</si>
  <si>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</si>
  <si>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</si>
  <si>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</si>
  <si>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</si>
  <si>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</si>
  <si>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</si>
  <si>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</si>
  <si>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</si>
  <si>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</si>
  <si>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</si>
  <si>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</si>
  <si>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</si>
  <si>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</si>
  <si>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</si>
  <si>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</si>
  <si>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</si>
  <si>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</si>
  <si>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</si>
  <si>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</si>
  <si>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</si>
  <si>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</si>
  <si>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</si>
  <si>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</si>
  <si>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</si>
  <si>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</si>
  <si>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</si>
  <si>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</si>
  <si>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</si>
  <si>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</si>
  <si>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</si>
  <si>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</si>
  <si>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</si>
  <si>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</si>
  <si>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</si>
  <si>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</si>
  <si>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</si>
  <si>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</si>
  <si>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</si>
  <si>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</si>
  <si>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</si>
  <si>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</si>
  <si>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</si>
  <si>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</si>
  <si>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</si>
  <si>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</si>
  <si>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</si>
  <si>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</si>
  <si>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</si>
  <si>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</si>
  <si>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</si>
  <si>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</si>
  <si>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</si>
  <si>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</si>
  <si>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</si>
  <si>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</si>
  <si>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</si>
  <si>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</si>
  <si>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</si>
  <si>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</si>
  <si>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</si>
  <si>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</si>
  <si>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</si>
  <si>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</si>
  <si>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</si>
  <si>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</si>
  <si>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</si>
  <si>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</si>
  <si>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</si>
  <si>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</si>
  <si>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</si>
  <si>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</si>
  <si>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</si>
  <si>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</si>
  <si>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</si>
  <si>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</si>
  <si>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</si>
  <si>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</si>
  <si>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</si>
  <si>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</si>
  <si>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</si>
  <si>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</si>
  <si>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</si>
  <si>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</si>
  <si>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</si>
  <si>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</si>
  <si>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</si>
  <si>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</si>
  <si>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</si>
  <si>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</si>
  <si>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</si>
  <si>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</si>
  <si>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</si>
  <si>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</si>
  <si>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</si>
  <si>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</si>
  <si>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</si>
  <si>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</si>
  <si>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</si>
  <si>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</si>
  <si>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</si>
  <si>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</si>
  <si>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</si>
  <si>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</si>
  <si>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</si>
  <si>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</si>
  <si>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</si>
  <si>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</si>
  <si>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</si>
  <si>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</si>
  <si>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</si>
  <si>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</si>
  <si>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</si>
  <si>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</si>
  <si>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</si>
  <si>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</si>
  <si>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</si>
  <si>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</si>
  <si>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</si>
  <si>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</si>
  <si>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</si>
  <si>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</si>
  <si>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</si>
  <si>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</si>
  <si>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</si>
  <si>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</si>
  <si>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</si>
  <si>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</si>
  <si>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</si>
  <si>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</si>
  <si>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</si>
  <si>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</si>
  <si>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</si>
  <si>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</si>
  <si>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</si>
  <si>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</si>
  <si>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</si>
  <si>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</si>
  <si>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</si>
  <si>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</si>
  <si>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</si>
  <si>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</si>
  <si>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</si>
  <si>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</si>
  <si>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</si>
  <si>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</si>
  <si>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</si>
  <si>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</si>
  <si>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</si>
  <si>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</si>
  <si>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</si>
  <si>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</si>
  <si>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</si>
  <si>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</si>
  <si>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</si>
  <si>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</si>
  <si>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</si>
  <si>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</si>
  <si>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</si>
  <si>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</si>
  <si>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</si>
  <si>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</si>
  <si>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</si>
  <si>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</si>
  <si>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</si>
  <si>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</si>
  <si>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</si>
  <si>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</si>
  <si>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</si>
  <si>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</si>
  <si>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</si>
  <si>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</si>
  <si>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</si>
  <si>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</si>
  <si>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</si>
  <si>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</si>
  <si>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</si>
  <si>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</si>
  <si>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</si>
  <si>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</si>
  <si>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</si>
  <si>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</si>
  <si>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</si>
  <si>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</si>
  <si>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</si>
  <si>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</si>
  <si>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</si>
  <si>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</si>
  <si>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</si>
  <si>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</si>
  <si>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</si>
  <si>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</si>
  <si>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</si>
  <si>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</si>
  <si>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</si>
  <si>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</si>
  <si>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</si>
  <si>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</si>
  <si>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</si>
  <si>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</si>
  <si>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</si>
  <si>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</si>
  <si>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</si>
  <si>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</si>
  <si>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</si>
  <si>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</si>
  <si>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</si>
  <si>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</si>
  <si>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</si>
  <si>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</si>
  <si>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</si>
  <si>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</si>
  <si>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</si>
  <si>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</si>
  <si>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</si>
  <si>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</si>
  <si>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</si>
  <si>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</si>
  <si>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</si>
  <si>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</si>
  <si>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</si>
  <si>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</si>
  <si>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</si>
  <si>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</si>
  <si>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</si>
  <si>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</si>
  <si>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</si>
  <si>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</si>
  <si>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</si>
  <si>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</si>
  <si>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</si>
  <si>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</si>
  <si>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</si>
  <si>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</si>
  <si>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</si>
  <si>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</si>
  <si>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</si>
  <si>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</si>
  <si>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</si>
  <si>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</si>
  <si>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</si>
  <si>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</si>
  <si>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</si>
  <si>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</si>
  <si>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</si>
  <si>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</si>
  <si>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</si>
  <si>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</si>
  <si>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</si>
  <si>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</si>
  <si>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</si>
  <si>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</si>
  <si>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</si>
  <si>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</si>
  <si>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</si>
  <si>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</si>
  <si>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</si>
  <si>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</si>
  <si>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</si>
  <si>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</si>
  <si>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</si>
  <si>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</si>
  <si>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</si>
  <si>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</si>
  <si>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</si>
  <si>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</si>
  <si>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</si>
  <si>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</si>
  <si>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</si>
  <si>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</si>
  <si>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</si>
  <si>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</si>
  <si>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</si>
  <si>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</si>
  <si>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</si>
  <si>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</si>
  <si>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</si>
  <si>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</si>
  <si>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</si>
  <si>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</si>
  <si>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</si>
  <si>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</si>
  <si>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</si>
  <si>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</si>
  <si>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</si>
  <si>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</si>
  <si>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</si>
  <si>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</si>
  <si>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</si>
  <si>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</si>
  <si>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</si>
  <si>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</si>
  <si>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</si>
  <si>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</si>
  <si>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</si>
  <si>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</si>
  <si>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</si>
  <si>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</si>
  <si>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</si>
  <si>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</si>
  <si>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</si>
  <si>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</si>
  <si>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</si>
  <si>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</si>
  <si>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</si>
  <si>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</si>
  <si>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</si>
  <si>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</si>
  <si>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</si>
  <si>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</si>
  <si>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</si>
  <si>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</si>
  <si>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</si>
  <si>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</si>
  <si>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</si>
  <si>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</si>
  <si>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</si>
  <si>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</si>
  <si>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</si>
  <si>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</si>
  <si>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</si>
  <si>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</si>
  <si>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</si>
  <si>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</si>
  <si>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</si>
  <si>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</si>
  <si>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</si>
  <si>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</si>
  <si>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</si>
  <si>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</si>
  <si>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</si>
  <si>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</si>
  <si>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</si>
  <si>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</si>
  <si>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</si>
  <si>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</si>
  <si>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</si>
  <si>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</si>
  <si>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</si>
  <si>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</si>
  <si>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</si>
  <si>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</si>
  <si>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</si>
  <si>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</si>
  <si>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</si>
  <si>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</si>
  <si>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</si>
  <si>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</si>
  <si>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</si>
  <si>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</si>
  <si>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</si>
  <si>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</si>
  <si>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</si>
  <si>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</si>
  <si>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</si>
  <si>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</si>
  <si>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</si>
  <si>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</si>
  <si>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</si>
  <si>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</si>
  <si>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</si>
  <si>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</si>
  <si>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</si>
  <si>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</si>
  <si>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</si>
  <si>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</si>
  <si>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</si>
  <si>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</si>
  <si>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</si>
  <si>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</si>
  <si>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</si>
  <si>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</si>
  <si>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</si>
  <si>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</si>
  <si>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</si>
  <si>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</si>
  <si>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</si>
  <si>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</si>
  <si>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</si>
  <si>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</si>
  <si>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</si>
  <si>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</si>
  <si>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</si>
  <si>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</si>
  <si>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</si>
  <si>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</si>
  <si>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</si>
  <si>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</si>
  <si>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</si>
  <si>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</si>
  <si>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</si>
  <si>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</si>
  <si>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</si>
  <si>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</si>
  <si>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</si>
  <si>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</si>
  <si>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</si>
  <si>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</si>
  <si>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</si>
  <si>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</si>
  <si>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</si>
  <si>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</si>
  <si>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</si>
  <si>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</si>
  <si>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</si>
  <si>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</si>
  <si>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</si>
  <si>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</si>
  <si>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</si>
  <si>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</si>
  <si>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</si>
  <si>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</si>
  <si>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</si>
  <si>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</si>
  <si>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</si>
  <si>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</si>
  <si>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</si>
  <si>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</si>
  <si>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</si>
  <si>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</si>
  <si>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</si>
  <si>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</si>
  <si>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</si>
  <si>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</si>
  <si>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</si>
  <si>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</si>
  <si>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</si>
  <si>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</si>
  <si>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</si>
  <si>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</si>
  <si>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</si>
  <si>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</si>
  <si>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</si>
  <si>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</si>
  <si>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</si>
  <si>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</si>
  <si>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</si>
  <si>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</si>
  <si>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</si>
  <si>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</si>
  <si>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</si>
  <si>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</si>
  <si>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</si>
  <si>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</si>
  <si>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</si>
  <si>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</si>
  <si>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</si>
  <si>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</si>
  <si>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</si>
  <si>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</si>
  <si>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</si>
  <si>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</si>
  <si>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</si>
  <si>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</si>
  <si>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</si>
  <si>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</si>
  <si>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</si>
  <si>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</si>
  <si>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</si>
  <si>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</si>
  <si>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</si>
  <si>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</si>
  <si>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</si>
  <si>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</si>
  <si>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</si>
  <si>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</si>
  <si>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</si>
  <si>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</si>
  <si>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</si>
  <si>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</si>
  <si>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</si>
  <si>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</si>
  <si>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</si>
  <si>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</si>
  <si>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</si>
  <si>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</si>
  <si>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</si>
  <si>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</si>
  <si>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</si>
  <si>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</si>
  <si>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</si>
  <si>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</si>
  <si>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</si>
  <si>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</si>
  <si>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</si>
  <si>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</si>
  <si>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</si>
  <si>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</si>
  <si>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</si>
  <si>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</si>
  <si>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</si>
  <si>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</si>
  <si>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</si>
  <si>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</si>
  <si>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</si>
  <si>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</si>
  <si>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</si>
  <si>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</si>
  <si>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</si>
  <si>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</si>
  <si>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</si>
  <si>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</si>
  <si>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</si>
  <si>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</si>
  <si>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</si>
  <si>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</si>
  <si>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</si>
  <si>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</si>
  <si>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</si>
  <si>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</si>
  <si>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</si>
  <si>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</si>
  <si>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</si>
  <si>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</si>
  <si>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</si>
  <si>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</si>
  <si>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</si>
  <si>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</si>
  <si>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</si>
  <si>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</si>
  <si>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</si>
  <si>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</si>
  <si>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</si>
  <si>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</si>
  <si>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</si>
  <si>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</si>
  <si>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</si>
  <si>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</si>
  <si>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</si>
  <si>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</si>
  <si>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</si>
  <si>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</si>
  <si>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</si>
  <si>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</si>
  <si>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</si>
  <si>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</si>
  <si>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</si>
  <si>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</si>
  <si>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</si>
  <si>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</si>
  <si>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</si>
  <si>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</si>
  <si>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</si>
  <si>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</si>
  <si>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</si>
  <si>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</si>
  <si>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</si>
  <si>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</si>
  <si>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</si>
  <si>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</si>
  <si>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</si>
  <si>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</si>
  <si>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</si>
  <si>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</si>
  <si>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</si>
  <si>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</si>
  <si>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</si>
  <si>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</si>
  <si>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</si>
  <si>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</si>
  <si>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</si>
  <si>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</si>
  <si>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</si>
  <si>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</si>
  <si>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</si>
  <si>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</si>
  <si>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</si>
  <si>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</si>
  <si>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</si>
  <si>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</si>
  <si>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</si>
  <si>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</si>
  <si>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</si>
  <si>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</si>
  <si>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</si>
  <si>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</si>
  <si>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</si>
  <si>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</si>
  <si>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</si>
  <si>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</si>
  <si>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</si>
  <si>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</si>
  <si>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</si>
  <si>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</si>
  <si>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</si>
  <si>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</si>
  <si>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</si>
  <si>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</si>
  <si>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</si>
  <si>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</si>
  <si>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</si>
  <si>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</si>
  <si>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</si>
  <si>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</si>
  <si>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</si>
  <si>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</si>
  <si>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</si>
  <si>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</si>
  <si>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</si>
  <si>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</si>
  <si>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</si>
  <si>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</si>
  <si>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</si>
  <si>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</si>
  <si>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</si>
  <si>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</si>
  <si>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</si>
  <si>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</si>
  <si>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</si>
  <si>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</si>
  <si>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</si>
  <si>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</si>
  <si>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</si>
  <si>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</si>
  <si>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</si>
  <si>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</si>
  <si>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</si>
  <si>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</si>
  <si>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</si>
  <si>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</si>
  <si>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</si>
  <si>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</si>
  <si>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</si>
  <si>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</si>
  <si>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</si>
  <si>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</si>
  <si>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</si>
  <si>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</si>
  <si>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</si>
  <si>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</si>
  <si>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</si>
  <si>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</si>
  <si>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</si>
  <si>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</si>
  <si>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</si>
  <si>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</si>
  <si>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</si>
  <si>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</si>
  <si>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</si>
  <si>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</si>
  <si>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</si>
  <si>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</si>
  <si>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</si>
  <si>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</si>
  <si>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</si>
  <si>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</si>
  <si>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</si>
  <si>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</si>
  <si>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</si>
  <si>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</si>
  <si>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</si>
  <si>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</si>
  <si>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</si>
  <si>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</si>
  <si>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</si>
  <si>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</si>
  <si>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</si>
  <si>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</si>
  <si>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</si>
  <si>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</si>
  <si>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</si>
  <si>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</si>
  <si>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</si>
  <si>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</si>
  <si>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</si>
  <si>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</si>
  <si>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</si>
  <si>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</si>
  <si>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</si>
  <si>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</si>
  <si>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</si>
  <si>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</si>
  <si>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</si>
  <si>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</si>
  <si>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</si>
  <si>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</si>
  <si>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</si>
  <si>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</si>
  <si>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</si>
  <si>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</si>
  <si>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</si>
  <si>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</si>
  <si>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</si>
  <si>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</si>
  <si>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</si>
  <si>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</si>
  <si>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</si>
  <si>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</si>
  <si>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</si>
  <si>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</si>
  <si>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</si>
  <si>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</si>
  <si>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</si>
  <si>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</si>
  <si>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</si>
  <si>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</si>
  <si>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</si>
  <si>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</si>
  <si>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</si>
  <si>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</si>
  <si>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</si>
  <si>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</si>
  <si>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</si>
  <si>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</si>
  <si>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</si>
  <si>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</si>
  <si>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</si>
  <si>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</si>
  <si>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</si>
  <si>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</si>
  <si>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</si>
  <si>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</si>
  <si>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</si>
  <si>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</si>
  <si>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</si>
  <si>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</si>
  <si>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</si>
  <si>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</si>
  <si>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</si>
  <si>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</si>
  <si>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</si>
  <si>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</si>
  <si>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</si>
  <si>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</si>
  <si>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</si>
  <si>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</si>
  <si>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</si>
  <si>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</si>
  <si>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</si>
  <si>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</si>
  <si>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</si>
  <si>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</si>
  <si>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</si>
  <si>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</si>
  <si>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</si>
  <si>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</si>
  <si>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</si>
  <si>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</si>
  <si>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</si>
  <si>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</si>
  <si>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</si>
  <si>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</si>
  <si>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</si>
  <si>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</si>
  <si>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</si>
  <si>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</si>
  <si>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</si>
  <si>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</si>
  <si>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</si>
  <si>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</si>
  <si>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</si>
  <si>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</si>
  <si>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</si>
  <si>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</si>
  <si>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</si>
  <si>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</si>
  <si>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</si>
  <si>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</si>
  <si>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</si>
  <si>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</si>
  <si>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</si>
  <si>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</si>
  <si>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</si>
  <si>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</si>
  <si>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</si>
  <si>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</si>
  <si>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</si>
  <si>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</si>
  <si>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</si>
  <si>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</si>
  <si>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</si>
  <si>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</si>
  <si>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</si>
  <si>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</si>
  <si>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</si>
  <si>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</si>
  <si>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</si>
  <si>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</si>
  <si>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</si>
  <si>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</si>
  <si>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</si>
  <si>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</si>
  <si>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</si>
  <si>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</si>
  <si>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</si>
  <si>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</si>
  <si>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</si>
  <si>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</si>
  <si>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</si>
  <si>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</si>
  <si>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</si>
  <si>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</si>
  <si>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</si>
  <si>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</si>
  <si>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</si>
  <si>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</si>
  <si>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</si>
  <si>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</si>
  <si>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</si>
  <si>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</si>
  <si>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</si>
  <si>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</si>
  <si>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</si>
  <si>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</si>
  <si>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</si>
  <si>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</si>
  <si>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</si>
  <si>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</si>
  <si>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</si>
  <si>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</si>
  <si>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</si>
  <si>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</si>
  <si>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</si>
  <si>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</si>
  <si>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</si>
  <si>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</si>
  <si>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</si>
  <si>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</si>
  <si>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</si>
  <si>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</si>
  <si>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</si>
  <si>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</si>
  <si>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</si>
  <si>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</si>
  <si>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</si>
  <si>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</si>
  <si>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</si>
  <si>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</si>
  <si>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</si>
  <si>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</si>
  <si>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</si>
  <si>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</si>
  <si>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</si>
  <si>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</si>
  <si>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</si>
  <si>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</si>
  <si>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</si>
  <si>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</si>
  <si>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</si>
  <si>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</si>
  <si>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</si>
  <si>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</si>
  <si>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</si>
  <si>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</si>
  <si>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</si>
  <si>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</si>
  <si>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</si>
  <si>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</si>
  <si>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</si>
  <si>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</si>
  <si>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</si>
  <si>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</si>
  <si>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</si>
  <si>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</si>
  <si>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</si>
  <si>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</si>
  <si>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</si>
  <si>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</si>
  <si>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</si>
  <si>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</si>
  <si>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</si>
  <si>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</si>
  <si>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</si>
  <si>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</si>
  <si>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</si>
  <si>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</si>
  <si>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</si>
  <si>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</si>
  <si>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</si>
  <si>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</si>
  <si>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</si>
  <si>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</si>
  <si>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</si>
  <si>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</si>
  <si>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</si>
  <si>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</si>
  <si>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</si>
  <si>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</si>
  <si>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</si>
  <si>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</si>
  <si>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</si>
  <si>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</si>
  <si>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</si>
  <si>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</si>
  <si>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</si>
  <si>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</si>
  <si>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</si>
  <si>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</si>
  <si>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</si>
  <si>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</si>
  <si>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</si>
  <si>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</si>
  <si>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</si>
  <si>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</si>
  <si>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</si>
  <si>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</si>
  <si>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</si>
  <si>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</si>
  <si>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</si>
  <si>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</si>
  <si>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</si>
  <si>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</si>
  <si>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</si>
  <si>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</si>
  <si>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</si>
  <si>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</si>
  <si>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</si>
  <si>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</si>
  <si>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</si>
  <si>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</si>
  <si>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</si>
  <si>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</si>
  <si>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</si>
  <si>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</si>
  <si>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</si>
  <si>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</si>
  <si>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</si>
  <si>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</si>
  <si>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</si>
  <si>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</si>
  <si>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</si>
  <si>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</si>
  <si>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</si>
  <si>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</si>
  <si>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</si>
  <si>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</si>
  <si>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</si>
  <si>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</si>
  <si>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</si>
  <si>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</si>
  <si>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</si>
  <si>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</si>
  <si>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</si>
  <si>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</si>
  <si>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</si>
  <si>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</si>
  <si>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</si>
  <si>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</si>
  <si>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</si>
  <si>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</si>
  <si>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</si>
  <si>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</si>
  <si>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</si>
  <si>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</si>
  <si>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</si>
  <si>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</si>
  <si>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</si>
  <si>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</si>
  <si>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</si>
  <si>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</si>
  <si>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</si>
  <si>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</si>
  <si>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</si>
  <si>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</si>
  <si>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</si>
  <si>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</si>
  <si>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</si>
  <si>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</si>
  <si>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</si>
  <si>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</si>
  <si>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</si>
  <si>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</si>
  <si>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</si>
  <si>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</si>
  <si>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</si>
  <si>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</si>
  <si>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</si>
  <si>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</si>
  <si>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</si>
  <si>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</si>
  <si>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</si>
  <si>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</si>
  <si>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</si>
  <si>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</si>
  <si>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</si>
  <si>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</si>
  <si>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</si>
  <si>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</si>
  <si>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</si>
  <si>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</si>
  <si>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</si>
  <si>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</si>
  <si>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</si>
  <si>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</si>
  <si>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</si>
  <si>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</si>
  <si>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</si>
  <si>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</si>
  <si>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</si>
  <si>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</si>
  <si>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</si>
  <si>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</si>
  <si>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</si>
  <si>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</si>
  <si>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</si>
  <si>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</si>
  <si>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</si>
  <si>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</si>
  <si>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</si>
  <si>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</si>
  <si>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</si>
  <si>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</si>
  <si>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</si>
  <si>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</si>
  <si>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</si>
  <si>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</si>
  <si>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</si>
  <si>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</si>
  <si>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</si>
  <si>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</si>
  <si>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</si>
  <si>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</si>
  <si>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</si>
  <si>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</si>
  <si>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</si>
  <si>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</si>
  <si>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</si>
  <si>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</si>
  <si>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</si>
  <si>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</si>
  <si>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</si>
  <si>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</si>
  <si>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</si>
  <si>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</si>
  <si>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</si>
  <si>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</si>
  <si>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</si>
  <si>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</si>
  <si>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</si>
  <si>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</si>
  <si>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</si>
  <si>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</si>
  <si>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</si>
  <si>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</si>
  <si>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</si>
  <si>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</si>
  <si>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</si>
  <si>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</si>
  <si>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</si>
  <si>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</si>
  <si>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</si>
  <si>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</si>
  <si>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</si>
  <si>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</si>
  <si>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</si>
  <si>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</si>
  <si>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</si>
  <si>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</si>
  <si>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</si>
  <si>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</si>
  <si>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</si>
  <si>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</si>
  <si>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</si>
  <si>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</si>
  <si>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</si>
  <si>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</si>
  <si>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</si>
  <si>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</si>
  <si>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</si>
  <si>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</si>
  <si>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</si>
  <si>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</si>
  <si>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</si>
  <si>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</si>
  <si>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</si>
  <si>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</si>
  <si>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</si>
  <si>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</si>
  <si>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</si>
  <si>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</si>
  <si>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</si>
  <si>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</si>
  <si>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</si>
  <si>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</si>
  <si>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</si>
  <si>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</si>
  <si>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</si>
  <si>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</si>
  <si>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</si>
  <si>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</si>
  <si>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</si>
  <si>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</si>
  <si>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</si>
  <si>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</si>
  <si>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</si>
  <si>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</si>
  <si>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</si>
  <si>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</si>
  <si>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</si>
  <si>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</si>
  <si>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</si>
  <si>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</si>
  <si>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</si>
  <si>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</si>
  <si>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</si>
  <si>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</si>
  <si>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</si>
  <si>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</si>
  <si>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</si>
  <si>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</si>
  <si>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</si>
  <si>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</si>
  <si>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</si>
  <si>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</si>
  <si>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</si>
  <si>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</si>
  <si>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</si>
  <si>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</si>
  <si>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</si>
  <si>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</si>
  <si>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</si>
  <si>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</si>
  <si>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</si>
  <si>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</si>
  <si>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</si>
  <si>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</si>
  <si>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</si>
  <si>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</si>
  <si>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</si>
  <si>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</si>
  <si>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</si>
  <si>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</si>
  <si>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</si>
  <si>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</si>
  <si>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</si>
  <si>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</si>
  <si>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</si>
  <si>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</si>
  <si>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</si>
  <si>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</si>
  <si>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</si>
  <si>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</si>
  <si>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</si>
  <si>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</si>
  <si>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</si>
  <si>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</si>
  <si>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</si>
  <si>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</si>
  <si>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</si>
  <si>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</si>
  <si>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</si>
  <si>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</si>
  <si>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</si>
  <si>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</si>
  <si>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</si>
  <si>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</si>
  <si>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</si>
  <si>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</si>
  <si>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</si>
  <si>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</si>
  <si>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</si>
  <si>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</si>
  <si>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</si>
  <si>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</si>
  <si>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</si>
  <si>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</si>
  <si>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</si>
  <si>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</si>
  <si>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</si>
  <si>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</si>
  <si>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</si>
  <si>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</si>
  <si>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</si>
  <si>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</si>
  <si>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</si>
  <si>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</si>
  <si>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</si>
  <si>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</si>
  <si>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</si>
  <si>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</si>
  <si>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</si>
  <si>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</si>
  <si>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</si>
  <si>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</si>
  <si>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</si>
  <si>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</si>
  <si>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</si>
  <si>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</si>
  <si>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</si>
  <si>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</si>
  <si>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</si>
  <si>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</si>
  <si>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</si>
  <si>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</si>
  <si>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</si>
  <si>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</si>
  <si>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</si>
  <si>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</si>
  <si>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</si>
  <si>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</si>
  <si>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</si>
  <si>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</si>
  <si>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</si>
  <si>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</si>
  <si>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</si>
  <si>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</si>
  <si>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</si>
  <si>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</si>
  <si>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</si>
  <si>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</si>
  <si>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</si>
  <si>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</si>
  <si>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</si>
  <si>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</si>
  <si>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</si>
  <si>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</si>
  <si>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</si>
  <si>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</si>
  <si>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</si>
  <si>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</si>
  <si>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</si>
  <si>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</si>
  <si>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</si>
  <si>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</si>
  <si>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</si>
  <si>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</si>
  <si>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</si>
  <si>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</si>
  <si>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</si>
  <si>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</si>
  <si>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</si>
  <si>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</si>
  <si>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</si>
  <si>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</si>
  <si>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</si>
  <si>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</si>
  <si>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</si>
  <si>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</si>
  <si>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</si>
  <si>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</si>
  <si>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</si>
  <si>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</si>
  <si>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</si>
  <si>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</si>
  <si>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</si>
  <si>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</si>
  <si>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</si>
  <si>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</si>
  <si>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</si>
  <si>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</si>
  <si>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</si>
  <si>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</si>
  <si>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</si>
  <si>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</si>
  <si>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</si>
  <si>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</si>
  <si>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</si>
  <si>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</si>
  <si>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</si>
  <si>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</si>
  <si>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</si>
  <si>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</si>
  <si>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</si>
  <si>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</si>
  <si>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</si>
  <si>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</si>
  <si>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</si>
  <si>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</si>
  <si>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</si>
  <si>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</si>
  <si>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</si>
  <si>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</si>
  <si>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</si>
  <si>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</si>
  <si>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</si>
  <si>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</si>
  <si>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</si>
  <si>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</si>
  <si>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</si>
  <si>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</si>
  <si>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</si>
  <si>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</si>
  <si>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</si>
  <si>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</si>
  <si>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</si>
  <si>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</si>
  <si>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</si>
  <si>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</si>
  <si>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</si>
  <si>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</si>
  <si>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</si>
  <si>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</si>
  <si>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</si>
  <si>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</si>
  <si>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</si>
  <si>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</si>
  <si>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</si>
  <si>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</si>
  <si>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</si>
  <si>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</si>
  <si>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</si>
  <si>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</si>
  <si>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</si>
  <si>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</si>
  <si>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</si>
  <si>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</si>
  <si>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</si>
  <si>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</si>
  <si>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</si>
  <si>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</si>
  <si>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</si>
  <si>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</si>
  <si>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</si>
  <si>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</si>
  <si>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</si>
  <si>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</si>
  <si>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</si>
  <si>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</si>
  <si>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</si>
  <si>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</si>
  <si>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</si>
  <si>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</si>
  <si>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</si>
  <si>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</si>
  <si>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</si>
  <si>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</si>
  <si>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</si>
  <si>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</si>
  <si>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</si>
  <si>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</si>
  <si>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</si>
  <si>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</si>
  <si>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</si>
  <si>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</si>
  <si>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</si>
  <si>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</si>
  <si>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</si>
  <si>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</si>
  <si>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</si>
  <si>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</si>
  <si>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</si>
  <si>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</si>
  <si>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</si>
  <si>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</si>
  <si>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</si>
  <si>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</si>
  <si>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</si>
  <si>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</si>
  <si>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</si>
  <si>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</si>
  <si>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</si>
  <si>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</si>
  <si>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</si>
  <si>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</si>
  <si>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</si>
  <si>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</si>
  <si>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</si>
  <si>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</si>
  <si>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</si>
  <si>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</si>
  <si>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</si>
  <si>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</si>
  <si>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</si>
  <si>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</si>
  <si>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</si>
  <si>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</si>
  <si>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</si>
  <si>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</si>
  <si>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</si>
  <si>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</si>
  <si>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</si>
  <si>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</si>
  <si>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</si>
  <si>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</si>
  <si>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</si>
  <si>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</si>
  <si>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</si>
  <si>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</si>
  <si>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</si>
  <si>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</si>
  <si>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</si>
  <si>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</si>
  <si>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</si>
  <si>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</si>
  <si>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</si>
  <si>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</si>
  <si>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</si>
  <si>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</si>
  <si>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</si>
  <si>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</si>
  <si>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</si>
  <si>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</si>
  <si>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</si>
  <si>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</si>
  <si>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</si>
  <si>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</si>
  <si>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</si>
  <si>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</si>
  <si>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</si>
  <si>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</si>
  <si>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</si>
  <si>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</si>
  <si>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</si>
  <si>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</si>
  <si>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</si>
  <si>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</si>
  <si>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</si>
  <si>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</si>
  <si>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</si>
  <si>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</si>
  <si>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</si>
  <si>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</si>
  <si>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</si>
  <si>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</si>
  <si>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</si>
  <si>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</si>
  <si>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</si>
  <si>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</si>
  <si>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</si>
  <si>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</si>
  <si>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</si>
  <si>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</si>
  <si>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</si>
  <si>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</si>
  <si>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</si>
  <si>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</si>
  <si>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</si>
  <si>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</si>
  <si>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</si>
  <si>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</si>
  <si>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</si>
  <si>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</si>
  <si>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</si>
  <si>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</si>
  <si>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</si>
  <si>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</si>
  <si>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</si>
  <si>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</si>
  <si>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</si>
  <si>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</si>
  <si>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</si>
  <si>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</si>
  <si>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</si>
  <si>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</si>
  <si>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</si>
  <si>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</si>
  <si>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</si>
  <si>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</si>
  <si>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</si>
  <si>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</si>
  <si>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</si>
  <si>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</si>
  <si>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</si>
  <si>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</si>
  <si>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</si>
  <si>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</si>
  <si>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</si>
  <si>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</si>
  <si>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</si>
  <si>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</si>
  <si>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</si>
  <si>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</si>
  <si>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</si>
  <si>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</si>
  <si>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</si>
  <si>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</si>
  <si>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</si>
  <si>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</si>
  <si>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</si>
  <si>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</si>
  <si>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</si>
  <si>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</si>
  <si>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</si>
  <si>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</si>
  <si>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</si>
  <si>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</si>
  <si>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</si>
  <si>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</si>
  <si>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</si>
  <si>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</si>
  <si>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</si>
  <si>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</si>
  <si>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</si>
  <si>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</si>
  <si>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</si>
  <si>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</si>
  <si>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</si>
  <si>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</si>
  <si>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</si>
  <si>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</si>
  <si>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</si>
  <si>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</si>
  <si>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</si>
  <si>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</si>
  <si>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</si>
  <si>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</si>
  <si>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</si>
  <si>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</si>
  <si>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</si>
  <si>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</si>
  <si>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</si>
  <si>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</si>
  <si>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</si>
  <si>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</si>
  <si>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</si>
  <si>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</si>
  <si>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</si>
  <si>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</si>
  <si>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</si>
  <si>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</si>
  <si>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</si>
  <si>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</si>
  <si>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</si>
  <si>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</si>
  <si>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</si>
  <si>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</si>
  <si>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</si>
  <si>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</si>
  <si>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</si>
  <si>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</si>
  <si>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</si>
  <si>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</si>
  <si>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</si>
  <si>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</si>
  <si>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</si>
  <si>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</si>
  <si>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</si>
  <si>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</si>
  <si>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</si>
  <si>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</si>
  <si>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</si>
  <si>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</si>
  <si>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</si>
  <si>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</si>
  <si>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</si>
  <si>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</si>
  <si>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</si>
  <si>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</si>
  <si>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</si>
  <si>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</si>
  <si>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</si>
  <si>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</si>
  <si>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</si>
  <si>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</si>
  <si>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</si>
  <si>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</si>
  <si>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</si>
  <si>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</si>
  <si>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</si>
  <si>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</si>
  <si>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</si>
  <si>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</si>
  <si>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</si>
  <si>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</si>
  <si>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</si>
  <si>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</si>
  <si>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</si>
  <si>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</si>
  <si>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</si>
  <si>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</si>
  <si>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</si>
  <si>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</si>
  <si>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</si>
  <si>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</si>
  <si>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</si>
  <si>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</si>
  <si>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</si>
  <si>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</si>
  <si>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</si>
  <si>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</si>
  <si>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</si>
  <si>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</si>
  <si>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</si>
  <si>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</si>
  <si>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</si>
  <si>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</si>
  <si>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</si>
  <si>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</si>
  <si>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</si>
  <si>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</si>
  <si>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</si>
  <si>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</si>
  <si>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</si>
  <si>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</si>
  <si>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</si>
  <si>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</si>
  <si>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</si>
  <si>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</si>
  <si>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</si>
  <si>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</si>
  <si>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</si>
  <si>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</si>
  <si>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</si>
  <si>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</si>
  <si>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</si>
  <si>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</si>
  <si>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</si>
  <si>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</si>
  <si>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</si>
  <si>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</si>
  <si>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</si>
  <si>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</si>
  <si>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</si>
  <si>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</si>
  <si>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</si>
  <si>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</si>
  <si>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</si>
  <si>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</si>
  <si>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</si>
  <si>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</si>
  <si>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</si>
  <si>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</si>
  <si>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</si>
  <si>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</si>
  <si>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</si>
  <si>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</si>
  <si>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</si>
  <si>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</si>
  <si>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</si>
  <si>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</si>
  <si>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</si>
  <si>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</si>
  <si>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</si>
  <si>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</si>
  <si>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</si>
  <si>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</si>
  <si>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</si>
  <si>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</si>
  <si>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</si>
  <si>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</si>
  <si>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</si>
  <si>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</si>
  <si>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</si>
  <si>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</si>
  <si>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</si>
  <si>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</si>
  <si>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</si>
  <si>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</si>
  <si>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</si>
  <si>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</si>
  <si>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</si>
  <si>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</si>
  <si>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</si>
  <si>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</si>
  <si>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</si>
  <si>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</si>
  <si>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</si>
  <si>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</si>
  <si>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</si>
  <si>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</si>
  <si>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</si>
  <si>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</si>
  <si>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</si>
  <si>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</si>
  <si>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</si>
  <si>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</si>
  <si>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</si>
  <si>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</si>
  <si>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</si>
  <si>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</si>
  <si>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</si>
  <si>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</si>
  <si>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</si>
  <si>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</si>
  <si>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</si>
  <si>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</si>
  <si>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</si>
  <si>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</si>
  <si>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</si>
  <si>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</si>
  <si>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</si>
  <si>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</si>
  <si>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</si>
  <si>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</si>
  <si>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</si>
  <si>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</si>
  <si>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</si>
  <si>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</si>
  <si>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</si>
  <si>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</si>
  <si>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</si>
  <si>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</si>
  <si>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</si>
  <si>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</si>
  <si>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</si>
  <si>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</si>
  <si>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</si>
  <si>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</si>
  <si>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</si>
  <si>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</si>
  <si>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</si>
  <si>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</si>
  <si>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</si>
  <si>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</si>
  <si>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</si>
  <si>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</si>
  <si>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</si>
  <si>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</si>
  <si>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</si>
  <si>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</si>
  <si>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</si>
  <si>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</si>
  <si>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</si>
  <si>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</si>
  <si>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</si>
  <si>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</si>
  <si>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</si>
  <si>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</si>
  <si>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</si>
  <si>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</si>
  <si>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</si>
  <si>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</si>
  <si>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</si>
  <si>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</si>
  <si>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</si>
  <si>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</si>
  <si>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</si>
  <si>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</si>
  <si>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</si>
  <si>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</si>
  <si>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</si>
  <si>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</si>
  <si>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</si>
  <si>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</si>
  <si>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</si>
  <si>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</si>
  <si>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</si>
  <si>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</si>
  <si>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</si>
  <si>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</si>
  <si>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</si>
  <si>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</si>
  <si>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</si>
  <si>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</si>
  <si>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</si>
  <si>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</si>
  <si>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</si>
  <si>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</si>
  <si>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</si>
  <si>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</si>
  <si>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</si>
  <si>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</si>
  <si>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</si>
  <si>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</si>
  <si>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</si>
  <si>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</si>
  <si>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</si>
  <si>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</si>
  <si>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</si>
  <si>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</si>
  <si>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</si>
  <si>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</si>
  <si>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</si>
  <si>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</si>
  <si>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</si>
  <si>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</si>
  <si>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</si>
  <si>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</si>
  <si>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</si>
  <si>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</si>
  <si>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</si>
  <si>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</si>
  <si>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</si>
  <si>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</si>
  <si>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</si>
  <si>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</si>
  <si>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</si>
  <si>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</si>
  <si>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</si>
  <si>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</si>
  <si>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</si>
  <si>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</si>
  <si>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</si>
  <si>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</si>
  <si>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</si>
  <si>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</si>
  <si>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</si>
  <si>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</si>
  <si>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</si>
  <si>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</si>
  <si>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</si>
  <si>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</si>
  <si>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</si>
  <si>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</si>
  <si>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</si>
  <si>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</si>
  <si>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</si>
  <si>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</si>
  <si>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</si>
  <si>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</si>
  <si>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</si>
  <si>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</si>
  <si>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</si>
  <si>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</si>
  <si>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</si>
  <si>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</si>
  <si>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</si>
  <si>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</si>
  <si>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</si>
  <si>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</si>
  <si>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</si>
  <si>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</si>
  <si>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</si>
  <si>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</si>
  <si>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</si>
  <si>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</si>
  <si>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</si>
  <si>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</si>
  <si>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</si>
  <si>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</si>
  <si>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</si>
  <si>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</si>
  <si>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</si>
  <si>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</si>
  <si>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</si>
  <si>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</si>
  <si>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</si>
  <si>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</si>
  <si>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</si>
  <si>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</si>
  <si>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</si>
  <si>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</si>
  <si>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</si>
  <si>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</si>
  <si>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</si>
  <si>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</si>
  <si>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</si>
  <si>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</si>
  <si>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</si>
  <si>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</si>
  <si>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</si>
  <si>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</si>
  <si>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</si>
  <si>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</si>
  <si>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</si>
  <si>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</si>
  <si>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</si>
  <si>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</si>
  <si>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</si>
  <si>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</si>
  <si>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</si>
  <si>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</si>
  <si>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</si>
  <si>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</si>
  <si>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</si>
  <si>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</si>
  <si>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</si>
  <si>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</si>
  <si>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</si>
  <si>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</si>
  <si>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</si>
  <si>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</si>
  <si>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</si>
  <si>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</si>
  <si>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</si>
  <si>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</si>
  <si>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</si>
  <si>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</si>
  <si>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</si>
  <si>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</si>
  <si>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</si>
  <si>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</si>
  <si>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</si>
  <si>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</si>
  <si>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</si>
  <si>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</si>
  <si>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</si>
  <si>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</si>
  <si>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</si>
  <si>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</si>
  <si>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</si>
  <si>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</si>
  <si>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</si>
  <si>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</si>
  <si>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</si>
  <si>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</si>
  <si>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</si>
  <si>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</si>
  <si>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</si>
  <si>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</si>
  <si>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</si>
  <si>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</si>
  <si>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</si>
  <si>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</si>
  <si>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</si>
  <si>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</si>
  <si>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</si>
  <si>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</si>
  <si>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</si>
  <si>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</si>
  <si>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</si>
  <si>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</si>
  <si>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</si>
  <si>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</si>
  <si>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</si>
  <si>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</si>
  <si>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</si>
  <si>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</si>
  <si>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</si>
  <si>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</si>
  <si>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</si>
  <si>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</si>
  <si>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</si>
  <si>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</si>
  <si>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</si>
  <si>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</si>
  <si>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</si>
  <si>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</si>
  <si>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</si>
  <si>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</si>
  <si>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</si>
  <si>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</si>
  <si>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</si>
  <si>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</si>
  <si>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</si>
  <si>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</si>
  <si>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</si>
  <si>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</si>
  <si>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</si>
  <si>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</si>
  <si>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</si>
  <si>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</si>
  <si>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</si>
  <si>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</si>
  <si>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</si>
  <si>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</si>
  <si>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</si>
  <si>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</si>
  <si>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</si>
  <si>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</si>
  <si>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</si>
  <si>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</si>
  <si>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</si>
  <si>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</si>
  <si>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</si>
  <si>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</si>
  <si>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</si>
  <si>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</si>
  <si>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</si>
  <si>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</si>
  <si>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</si>
  <si>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</si>
  <si>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</si>
  <si>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</si>
  <si>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</si>
  <si>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</si>
  <si>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</si>
  <si>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</si>
  <si>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</si>
  <si>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</si>
  <si>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</si>
  <si>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</si>
  <si>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</si>
  <si>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</si>
  <si>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</si>
  <si>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</si>
  <si>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</si>
  <si>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</si>
  <si>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</si>
  <si>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</si>
  <si>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</si>
  <si>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</si>
  <si>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</si>
  <si>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</si>
  <si>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</si>
  <si>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</si>
  <si>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</si>
  <si>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</si>
  <si>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</si>
  <si>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</si>
  <si>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</si>
  <si>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</si>
  <si>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</si>
  <si>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</si>
  <si>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</si>
  <si>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</si>
  <si>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</si>
  <si>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</si>
  <si>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</si>
  <si>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</si>
  <si>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</si>
  <si>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</si>
  <si>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</si>
  <si>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</si>
  <si>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</si>
  <si>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</si>
  <si>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</si>
  <si>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</si>
  <si>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</si>
  <si>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</si>
  <si>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</si>
  <si>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</si>
  <si>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</si>
  <si>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</si>
  <si>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</si>
  <si>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</si>
  <si>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</si>
  <si>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</si>
  <si>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</si>
  <si>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</si>
  <si>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</si>
  <si>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</si>
  <si>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</si>
  <si>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</si>
  <si>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</si>
  <si>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</si>
  <si>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</si>
  <si>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</si>
  <si>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</si>
  <si>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</si>
  <si>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</si>
  <si>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</si>
  <si>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</si>
  <si>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</si>
  <si>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</si>
  <si>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</si>
  <si>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</si>
  <si>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</si>
  <si>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</si>
  <si>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</si>
  <si>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</si>
  <si>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</si>
  <si>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</si>
  <si>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</si>
  <si>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</si>
  <si>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</si>
  <si>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</si>
  <si>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</si>
  <si>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</si>
  <si>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</si>
  <si>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</si>
  <si>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</si>
  <si>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</si>
  <si>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</si>
  <si>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</si>
  <si>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</si>
  <si>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</si>
  <si>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</si>
  <si>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</si>
  <si>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</si>
  <si>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</si>
  <si>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</si>
  <si>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</si>
  <si>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</si>
  <si>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</si>
  <si>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</si>
  <si>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</si>
  <si>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</si>
  <si>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</si>
  <si>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</si>
  <si>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</si>
  <si>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</si>
  <si>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</si>
  <si>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</si>
  <si>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</si>
  <si>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</si>
  <si>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</si>
  <si>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</si>
  <si>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</si>
  <si>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</si>
  <si>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</si>
  <si>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</si>
  <si>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</si>
  <si>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</si>
  <si>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</si>
  <si>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</si>
  <si>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</si>
  <si>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</si>
  <si>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</si>
  <si>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</si>
  <si>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</si>
  <si>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</si>
  <si>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</si>
  <si>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</si>
  <si>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</si>
  <si>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</si>
  <si>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</si>
  <si>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</si>
  <si>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</si>
  <si>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</si>
  <si>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</si>
  <si>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</si>
  <si>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</si>
  <si>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</si>
  <si>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</si>
  <si>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</si>
  <si>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</si>
  <si>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</si>
  <si>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</si>
  <si>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</si>
  <si>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</si>
  <si>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</si>
  <si>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</si>
  <si>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</si>
  <si>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</si>
  <si>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</si>
  <si>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</si>
  <si>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</si>
  <si>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</si>
  <si>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</si>
  <si>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</si>
  <si>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</si>
  <si>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</si>
  <si>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</si>
  <si>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</si>
  <si>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</si>
  <si>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</si>
  <si>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</si>
  <si>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</si>
  <si>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</si>
  <si>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</si>
  <si>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</si>
  <si>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</si>
  <si>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</si>
  <si>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</si>
  <si>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</si>
  <si>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</si>
  <si>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</si>
  <si>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</si>
  <si>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</si>
  <si>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</si>
  <si>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</si>
  <si>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</si>
  <si>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</si>
  <si>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</si>
  <si>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</si>
  <si>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</si>
  <si>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</si>
  <si>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</si>
  <si>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</si>
  <si>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</si>
  <si>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</si>
  <si>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</si>
  <si>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</si>
  <si>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</si>
  <si>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</si>
  <si>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</si>
  <si>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</si>
  <si>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</si>
  <si>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</si>
  <si>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</si>
  <si>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</si>
  <si>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</si>
  <si>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</si>
  <si>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</si>
  <si>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</si>
  <si>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</si>
  <si>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</si>
  <si>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</si>
  <si>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</si>
  <si>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</si>
  <si>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</si>
  <si>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</si>
  <si>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</si>
  <si>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</si>
  <si>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</si>
  <si>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</si>
  <si>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</si>
  <si>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</si>
  <si>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</si>
  <si>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</si>
  <si>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</si>
  <si>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</si>
  <si>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</si>
  <si>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</si>
  <si>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</si>
  <si>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</si>
  <si>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</si>
  <si>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</si>
  <si>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</si>
  <si>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</si>
  <si>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</si>
  <si>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</si>
  <si>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</si>
  <si>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</si>
  <si>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</si>
  <si>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</si>
  <si>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</si>
  <si>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</si>
  <si>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</si>
  <si>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</si>
  <si>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</si>
  <si>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</si>
  <si>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</si>
  <si>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</si>
  <si>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</si>
  <si>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</si>
  <si>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</si>
  <si>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</si>
  <si>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</si>
  <si>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</si>
  <si>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</si>
  <si>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</si>
  <si>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</si>
  <si>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</si>
  <si>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</si>
  <si>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</si>
  <si>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</si>
  <si>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</si>
  <si>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</si>
  <si>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</si>
  <si>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</si>
  <si>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</si>
  <si>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</si>
  <si>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</si>
  <si>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</si>
  <si>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</si>
  <si>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</si>
  <si>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</si>
  <si>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</si>
  <si>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</si>
  <si>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</si>
  <si>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</si>
  <si>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</si>
  <si>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</si>
  <si>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</si>
  <si>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</si>
  <si>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</si>
  <si>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</si>
  <si>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</si>
  <si>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</si>
  <si>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</si>
  <si>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</si>
  <si>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</si>
  <si>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</si>
  <si>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</si>
  <si>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</si>
  <si>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</si>
  <si>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</si>
  <si>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</si>
  <si>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</si>
  <si>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</si>
  <si>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</si>
  <si>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</si>
  <si>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</si>
  <si>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</si>
  <si>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</si>
  <si>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</si>
  <si>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</si>
  <si>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</si>
  <si>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</si>
  <si>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</si>
  <si>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</si>
  <si>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</si>
  <si>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</si>
  <si>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</si>
  <si>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</si>
  <si>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</si>
  <si>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</si>
  <si>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</si>
  <si>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</si>
  <si>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</si>
  <si>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</si>
  <si>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</si>
  <si>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</si>
  <si>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</si>
  <si>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</si>
  <si>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</si>
  <si>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</si>
  <si>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</si>
  <si>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</si>
  <si>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</si>
  <si>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</si>
  <si>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</si>
  <si>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</si>
  <si>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</si>
  <si>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</si>
  <si>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</si>
  <si>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</si>
  <si>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</si>
  <si>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</si>
  <si>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</si>
  <si>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</si>
  <si>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</si>
  <si>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</si>
  <si>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</si>
  <si>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</si>
  <si>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</si>
  <si>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</si>
  <si>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</si>
  <si>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</si>
  <si>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</si>
  <si>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</si>
  <si>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</si>
  <si>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</si>
  <si>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</si>
  <si>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</si>
  <si>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</si>
  <si>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</si>
  <si>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</si>
  <si>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</si>
  <si>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</si>
  <si>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</si>
  <si>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</si>
  <si>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</si>
  <si>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</si>
  <si>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</si>
  <si>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</si>
  <si>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</si>
  <si>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</si>
  <si>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</si>
  <si>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</si>
  <si>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</si>
  <si>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</si>
  <si>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</si>
  <si>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</si>
  <si>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</si>
  <si>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</si>
  <si>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</si>
  <si>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</si>
  <si>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</si>
  <si>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</si>
  <si>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</si>
  <si>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</si>
  <si>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</si>
  <si>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</si>
  <si>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</si>
  <si>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</si>
  <si>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</si>
  <si>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</si>
  <si>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</si>
  <si>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</si>
  <si>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</si>
  <si>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</si>
  <si>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</si>
  <si>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</si>
  <si>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</si>
  <si>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</si>
  <si>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</si>
  <si>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</si>
  <si>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</si>
  <si>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</si>
  <si>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</si>
  <si>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</si>
  <si>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</si>
  <si>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</si>
  <si>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</si>
  <si>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</si>
  <si>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</si>
  <si>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</si>
  <si>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</si>
  <si>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</si>
  <si>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</si>
  <si>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</si>
  <si>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</si>
  <si>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</si>
  <si>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</si>
  <si>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</si>
  <si>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</si>
  <si>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</si>
  <si>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</si>
  <si>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</si>
  <si>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</si>
  <si>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</si>
  <si>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</si>
  <si>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</si>
  <si>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</si>
  <si>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</si>
  <si>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</si>
  <si>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</si>
  <si>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</si>
  <si>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</si>
  <si>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</si>
  <si>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</si>
  <si>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</si>
  <si>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</si>
  <si>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</si>
  <si>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</si>
  <si>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</si>
  <si>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</si>
  <si>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</si>
  <si>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</si>
  <si>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</si>
  <si>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</si>
  <si>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</si>
  <si>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</si>
  <si>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</si>
  <si>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</si>
  <si>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</si>
  <si>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</si>
  <si>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</si>
  <si>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</si>
  <si>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</si>
  <si>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</si>
  <si>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</si>
  <si>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</si>
  <si>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</si>
  <si>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</si>
  <si>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</si>
  <si>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</si>
  <si>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</si>
  <si>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</si>
  <si>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</si>
  <si>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</si>
  <si>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</si>
  <si>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</si>
  <si>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</si>
  <si>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</si>
  <si>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</si>
  <si>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</si>
  <si>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</si>
  <si>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</si>
  <si>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</si>
  <si>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</si>
  <si>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</si>
  <si>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</si>
  <si>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</si>
  <si>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</si>
  <si>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</si>
  <si>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</si>
  <si>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</si>
  <si>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</si>
  <si>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</si>
  <si>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</si>
  <si>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</si>
  <si>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</si>
  <si>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</si>
  <si>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</si>
  <si>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</si>
  <si>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</si>
  <si>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</si>
  <si>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</si>
  <si>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</si>
  <si>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</si>
  <si>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</si>
  <si>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</si>
  <si>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</si>
  <si>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</si>
  <si>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</si>
  <si>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</si>
  <si>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</si>
  <si>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</si>
  <si>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</si>
  <si>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</si>
  <si>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</si>
  <si>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</si>
  <si>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</si>
  <si>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</si>
  <si>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</si>
  <si>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</si>
  <si>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</si>
  <si>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</si>
  <si>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</si>
  <si>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</si>
  <si>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</si>
  <si>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</si>
  <si>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</si>
  <si>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</si>
  <si>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</si>
  <si>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</si>
  <si>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</si>
  <si>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</si>
  <si>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</si>
  <si>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</si>
  <si>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</si>
  <si>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</si>
  <si>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</si>
  <si>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</si>
  <si>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</si>
  <si>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</si>
  <si>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</si>
  <si>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</si>
  <si>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</si>
  <si>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</si>
  <si>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</si>
  <si>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</si>
  <si>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</si>
  <si>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</si>
  <si>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</si>
  <si>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</si>
  <si>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</si>
  <si>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</si>
  <si>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</si>
  <si>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</si>
  <si>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</si>
  <si>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</si>
  <si>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</si>
  <si>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</si>
  <si>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</si>
  <si>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</si>
  <si>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</si>
  <si>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</si>
  <si>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</si>
  <si>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</si>
  <si>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</si>
  <si>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</si>
  <si>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</si>
  <si>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</si>
  <si>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</si>
  <si>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</si>
  <si>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</si>
  <si>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</si>
  <si>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</si>
  <si>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</si>
  <si>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</si>
  <si>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</si>
  <si>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</si>
  <si>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</si>
  <si>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</si>
  <si>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</si>
  <si>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</si>
  <si>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</si>
  <si>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</si>
  <si>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</si>
  <si>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</si>
  <si>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</si>
  <si>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</si>
  <si>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</si>
  <si>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</si>
  <si>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</si>
  <si>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</si>
  <si>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</si>
  <si>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</si>
  <si>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</si>
  <si>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</si>
  <si>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</si>
  <si>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</si>
  <si>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</si>
  <si>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</si>
  <si>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</si>
  <si>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</si>
  <si>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</si>
  <si>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</si>
  <si>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</si>
  <si>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</si>
  <si>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</si>
  <si>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</si>
  <si>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</si>
  <si>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</si>
  <si>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</si>
  <si>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</si>
  <si>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</si>
  <si>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</si>
  <si>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</si>
  <si>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</si>
  <si>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</si>
  <si>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</si>
  <si>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</si>
  <si>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</si>
  <si>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</si>
  <si>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</si>
  <si>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</si>
  <si>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</si>
  <si>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</si>
  <si>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</si>
  <si>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</si>
  <si>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</si>
  <si>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</si>
  <si>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</si>
  <si>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</si>
  <si>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</si>
  <si>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</si>
  <si>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</si>
  <si>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</si>
  <si>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</si>
  <si>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</si>
  <si>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</si>
  <si>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</si>
  <si>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</si>
  <si>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</si>
  <si>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</si>
  <si>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</si>
  <si>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</si>
  <si>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</si>
  <si>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</si>
  <si>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</si>
  <si>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</si>
  <si>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</si>
  <si>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</si>
  <si>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</si>
  <si>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</si>
  <si>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</si>
  <si>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</si>
  <si>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</si>
  <si>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</si>
  <si>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</si>
  <si>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</si>
  <si>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</si>
  <si>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</si>
  <si>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</si>
  <si>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</si>
  <si>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</si>
  <si>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</si>
  <si>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</si>
  <si>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</si>
  <si>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</si>
  <si>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</si>
  <si>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</si>
  <si>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</si>
  <si>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</si>
  <si>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</si>
  <si>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</si>
  <si>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</si>
  <si>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</si>
  <si>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</si>
  <si>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</si>
  <si>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</si>
  <si>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</si>
  <si>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</si>
  <si>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</si>
  <si>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</si>
  <si>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</si>
  <si>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</si>
  <si>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</si>
  <si>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</si>
  <si>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</si>
  <si>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</si>
  <si>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</si>
  <si>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</si>
  <si>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</si>
  <si>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</si>
  <si>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</si>
  <si>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</si>
  <si>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</si>
  <si>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</si>
  <si>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</si>
  <si>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</si>
  <si>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</si>
  <si>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</si>
  <si>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</si>
  <si>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</si>
  <si>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</si>
  <si>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</si>
  <si>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</si>
  <si>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</si>
  <si>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</si>
  <si>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</si>
  <si>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</si>
  <si>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</si>
  <si>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</si>
  <si>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</si>
  <si>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</si>
  <si>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</si>
  <si>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</si>
  <si>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</si>
  <si>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</si>
  <si>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</si>
  <si>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</si>
  <si>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</si>
  <si>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</si>
  <si>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</si>
  <si>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</si>
  <si>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</si>
  <si>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</si>
  <si>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</si>
  <si>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</si>
  <si>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</si>
  <si>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</si>
  <si>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</si>
  <si>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</si>
  <si>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</si>
  <si>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</si>
  <si>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</si>
  <si>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</si>
  <si>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</si>
  <si>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</si>
  <si>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</si>
  <si>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</si>
  <si>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</si>
  <si>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</si>
  <si>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</si>
  <si>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</si>
  <si>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</si>
  <si>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</si>
  <si>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</si>
  <si>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</si>
  <si>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</si>
  <si>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</si>
  <si>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</si>
  <si>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</si>
  <si>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</si>
  <si>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</si>
  <si>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</si>
  <si>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</si>
  <si>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</si>
  <si>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</si>
  <si>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</si>
  <si>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</si>
  <si>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</si>
  <si>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</si>
  <si>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</si>
  <si>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</si>
  <si>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</si>
  <si>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</si>
  <si>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</si>
  <si>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</si>
  <si>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</si>
  <si>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</si>
  <si>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</si>
  <si>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</si>
  <si>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</si>
  <si>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</si>
  <si>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</si>
  <si>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</si>
  <si>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</si>
  <si>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</si>
  <si>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</si>
  <si>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</si>
  <si>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</si>
  <si>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</si>
  <si>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</si>
  <si>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</si>
  <si>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</si>
  <si>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</si>
  <si>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</si>
  <si>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</si>
  <si>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</si>
  <si>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</si>
  <si>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</si>
  <si>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</si>
  <si>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</si>
  <si>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</si>
  <si>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</si>
  <si>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</si>
  <si>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</si>
  <si>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</si>
  <si>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</si>
  <si>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</si>
  <si>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</si>
  <si>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</si>
  <si>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</si>
  <si>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</si>
  <si>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</si>
  <si>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</si>
  <si>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</si>
  <si>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</si>
  <si>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</si>
  <si>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</si>
  <si>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</si>
  <si>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</si>
  <si>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</si>
  <si>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</si>
  <si>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</si>
  <si>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</si>
  <si>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</si>
  <si>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</si>
  <si>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</si>
  <si>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</si>
  <si>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</si>
  <si>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</si>
  <si>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</si>
  <si>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</si>
  <si>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</si>
  <si>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</si>
  <si>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</si>
  <si>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</si>
  <si>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</si>
  <si>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</si>
  <si>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</si>
  <si>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</si>
  <si>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</si>
  <si>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</si>
  <si>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</si>
  <si>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</si>
  <si>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</si>
  <si>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</si>
  <si>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</si>
  <si>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</si>
  <si>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</si>
  <si>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</si>
  <si>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</si>
  <si>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</si>
  <si>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</si>
  <si>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</si>
  <si>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</si>
  <si>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</si>
  <si>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</si>
  <si>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</si>
  <si>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</si>
  <si>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</si>
  <si>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</si>
  <si>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</si>
  <si>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</si>
  <si>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</si>
  <si>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</si>
  <si>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</si>
  <si>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</si>
  <si>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</si>
  <si>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</si>
  <si>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</si>
  <si>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</si>
  <si>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</si>
  <si>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</si>
  <si>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</si>
  <si>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</si>
  <si>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</si>
  <si>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</si>
  <si>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</si>
  <si>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</si>
  <si>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</si>
  <si>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</si>
  <si>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</si>
  <si>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</si>
  <si>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</si>
  <si>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</si>
  <si>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</si>
  <si>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</si>
  <si>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</si>
  <si>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</si>
  <si>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</si>
  <si>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</si>
  <si>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</si>
  <si>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</si>
  <si>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</si>
  <si>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</si>
  <si>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</si>
  <si>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</si>
  <si>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</si>
  <si>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</si>
  <si>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</si>
  <si>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</si>
  <si>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</si>
  <si>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</si>
  <si>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</si>
  <si>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</si>
  <si>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</si>
  <si>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</si>
  <si>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</si>
  <si>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</si>
  <si>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</si>
  <si>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</si>
  <si>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</si>
  <si>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</si>
  <si>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</si>
  <si>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</si>
  <si>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</si>
  <si>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</si>
  <si>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</si>
  <si>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</si>
  <si>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</si>
  <si>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</si>
  <si>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</si>
  <si>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</si>
  <si>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</si>
  <si>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</si>
  <si>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</si>
  <si>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</si>
  <si>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</si>
  <si>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</si>
  <si>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</si>
  <si>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</si>
  <si>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</si>
  <si>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</si>
  <si>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</si>
  <si>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</si>
  <si>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</si>
  <si>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</si>
  <si>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</si>
  <si>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</si>
  <si>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</si>
  <si>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</si>
  <si>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</si>
  <si>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</si>
  <si>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</si>
  <si>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</si>
  <si>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</si>
  <si>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</si>
  <si>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</si>
  <si>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</si>
  <si>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</si>
  <si>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</si>
  <si>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</si>
  <si>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</si>
  <si>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</si>
  <si>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</si>
  <si>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</si>
  <si>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</si>
  <si>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</si>
  <si>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</si>
  <si>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</si>
  <si>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</si>
  <si>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</si>
  <si>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</si>
  <si>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</si>
  <si>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</si>
  <si>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</si>
  <si>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</si>
  <si>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</si>
  <si>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</si>
  <si>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</si>
  <si>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</si>
  <si>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</si>
  <si>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</si>
  <si>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</si>
  <si>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</si>
  <si>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</si>
  <si>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</si>
  <si>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</si>
  <si>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</si>
  <si>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</si>
  <si>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</si>
  <si>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</si>
  <si>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</si>
  <si>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</si>
  <si>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</si>
  <si>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</si>
  <si>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</si>
  <si>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</si>
  <si>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</si>
  <si>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</si>
  <si>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</si>
  <si>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</si>
  <si>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</si>
  <si>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</si>
  <si>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</si>
  <si>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</si>
  <si>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</si>
  <si>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</si>
  <si>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</si>
  <si>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</si>
  <si>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</si>
  <si>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</si>
  <si>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</si>
  <si>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</si>
  <si>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</si>
  <si>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</si>
  <si>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</si>
  <si>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</si>
  <si>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</si>
  <si>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</si>
  <si>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</si>
  <si>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</si>
  <si>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</si>
  <si>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</si>
  <si>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</si>
  <si>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</si>
  <si>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</si>
  <si>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</si>
  <si>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</si>
  <si>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</si>
  <si>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</si>
  <si>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</si>
  <si>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</si>
  <si>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</si>
  <si>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</si>
  <si>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</si>
  <si>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</si>
  <si>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</si>
  <si>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</si>
  <si>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</si>
  <si>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</si>
  <si>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</si>
  <si>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</si>
  <si>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</si>
  <si>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</si>
  <si>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</si>
  <si>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</si>
  <si>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</si>
  <si>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</si>
  <si>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</si>
  <si>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</si>
  <si>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</si>
  <si>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</si>
  <si>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</si>
  <si>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</si>
  <si>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</si>
  <si>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</si>
  <si>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</si>
  <si>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</si>
  <si>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</si>
  <si>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</si>
  <si>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</si>
  <si>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</si>
  <si>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</si>
  <si>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</si>
  <si>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</si>
  <si>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</si>
  <si>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</si>
  <si>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</si>
  <si>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</si>
  <si>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</si>
  <si>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</si>
  <si>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</si>
  <si>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</si>
  <si>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</si>
  <si>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</si>
  <si>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</si>
  <si>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</si>
  <si>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</si>
  <si>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</si>
  <si>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</si>
  <si>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</si>
  <si>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</si>
  <si>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</si>
  <si>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</si>
  <si>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</si>
  <si>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</si>
  <si>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</si>
  <si>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</si>
  <si>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</si>
  <si>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</si>
  <si>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</si>
  <si>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</si>
  <si>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</si>
  <si>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</si>
  <si>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</si>
  <si>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</si>
  <si>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</si>
  <si>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</si>
  <si>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</si>
  <si>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</si>
  <si>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</si>
  <si>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</si>
  <si>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</si>
  <si>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</si>
  <si>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</si>
  <si>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</si>
  <si>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</si>
  <si>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</si>
  <si>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</si>
  <si>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</si>
  <si>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</si>
  <si>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</si>
  <si>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</si>
  <si>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</si>
  <si>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</si>
  <si>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</si>
  <si>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</si>
  <si>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</si>
  <si>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</si>
  <si>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</si>
  <si>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</si>
  <si>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</si>
  <si>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</si>
  <si>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</si>
  <si>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</si>
  <si>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</si>
  <si>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</si>
  <si>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</si>
  <si>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</si>
  <si>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</si>
  <si>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</si>
  <si>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</si>
  <si>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</si>
  <si>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</si>
  <si>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</si>
  <si>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</si>
  <si>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</si>
  <si>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</si>
  <si>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</si>
  <si>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</si>
  <si>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</si>
  <si>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</si>
  <si>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</si>
  <si>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</si>
  <si>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</si>
  <si>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</si>
  <si>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</si>
  <si>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</si>
  <si>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</si>
  <si>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</si>
  <si>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</si>
  <si>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</si>
  <si>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</si>
  <si>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</si>
  <si>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</si>
  <si>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</si>
  <si>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</si>
  <si>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</si>
  <si>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</si>
  <si>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</si>
  <si>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</si>
  <si>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</si>
  <si>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</si>
  <si>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</si>
  <si>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</si>
  <si>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</si>
  <si>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</si>
  <si>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</si>
  <si>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</si>
  <si>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</si>
  <si>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</si>
  <si>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</si>
  <si>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</si>
  <si>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</si>
  <si>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</si>
  <si>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</si>
  <si>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</si>
  <si>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</si>
  <si>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</si>
  <si>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</si>
  <si>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</si>
  <si>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</si>
  <si>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</si>
  <si>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</si>
  <si>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</si>
  <si>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</si>
  <si>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</si>
  <si>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</si>
  <si>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</si>
  <si>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</si>
  <si>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</si>
  <si>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</si>
  <si>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</si>
  <si>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</si>
  <si>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</si>
  <si>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</si>
  <si>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</si>
  <si>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</si>
  <si>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</si>
  <si>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</si>
  <si>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</si>
  <si>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</si>
  <si>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</si>
  <si>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</si>
  <si>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</si>
  <si>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</si>
  <si>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</si>
  <si>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</si>
  <si>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</si>
  <si>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</si>
  <si>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</si>
  <si>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</si>
  <si>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</si>
  <si>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</si>
  <si>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</si>
  <si>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</si>
  <si>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</si>
  <si>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</si>
  <si>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</si>
  <si>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</si>
  <si>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</si>
  <si>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</si>
  <si>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</si>
  <si>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</si>
  <si>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</si>
  <si>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</si>
  <si>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</si>
  <si>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</si>
  <si>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</si>
  <si>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</si>
  <si>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</si>
  <si>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</si>
  <si>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</si>
  <si>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</si>
  <si>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</si>
  <si>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</si>
  <si>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</si>
  <si>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</si>
  <si>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</si>
  <si>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</si>
  <si>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</si>
  <si>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</si>
  <si>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</si>
  <si>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</si>
  <si>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</si>
  <si>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</si>
  <si>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</si>
  <si>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</si>
  <si>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</si>
  <si>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</si>
  <si>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</si>
  <si>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</si>
  <si>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</si>
  <si>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</si>
  <si>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</si>
  <si>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</si>
  <si>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</si>
  <si>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</si>
  <si>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</si>
  <si>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</si>
  <si>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</si>
  <si>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</si>
  <si>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</si>
  <si>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</si>
  <si>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</si>
  <si>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</si>
  <si>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</si>
  <si>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</si>
  <si>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</si>
  <si>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</si>
  <si>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</si>
  <si>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</si>
  <si>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</si>
  <si>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</si>
  <si>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</si>
  <si>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</si>
  <si>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</si>
  <si>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</si>
  <si>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</si>
  <si>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</si>
  <si>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</si>
  <si>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</si>
  <si>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</si>
  <si>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</si>
  <si>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</si>
  <si>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</si>
  <si>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</si>
  <si>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</si>
  <si>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</si>
  <si>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</si>
  <si>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</si>
  <si>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</si>
  <si>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</si>
  <si>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</si>
  <si>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</si>
  <si>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</si>
  <si>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</si>
  <si>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</si>
  <si>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</si>
  <si>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</si>
  <si>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</si>
  <si>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</si>
  <si>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</si>
  <si>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</si>
  <si>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</si>
  <si>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</si>
  <si>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</si>
  <si>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</si>
  <si>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</si>
  <si>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</si>
  <si>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</si>
  <si>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</si>
  <si>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</si>
  <si>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</si>
  <si>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</si>
  <si>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</si>
  <si>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</si>
  <si>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</si>
  <si>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</si>
  <si>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</si>
  <si>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</si>
  <si>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</si>
  <si>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</si>
  <si>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</si>
  <si>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</si>
  <si>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</si>
  <si>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</si>
  <si>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</si>
  <si>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</si>
  <si>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</si>
  <si>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</si>
  <si>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</si>
  <si>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</si>
  <si>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</si>
  <si>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</si>
  <si>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</si>
  <si>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</si>
  <si>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</si>
  <si>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</si>
  <si>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</si>
  <si>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</si>
  <si>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</si>
  <si>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</si>
  <si>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</si>
  <si>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</si>
  <si>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</si>
  <si>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</si>
  <si>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</si>
  <si>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</si>
  <si>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</si>
  <si>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</si>
  <si>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</si>
  <si>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</si>
  <si>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</si>
  <si>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</si>
  <si>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</si>
  <si>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</si>
  <si>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</si>
  <si>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</si>
  <si>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</si>
  <si>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</si>
  <si>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</si>
  <si>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</si>
  <si>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</si>
  <si>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</si>
  <si>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</si>
  <si>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</si>
  <si>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</si>
  <si>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</si>
  <si>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</si>
  <si>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</si>
  <si>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</si>
  <si>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</si>
  <si>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</si>
  <si>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</si>
  <si>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</si>
  <si>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</si>
  <si>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</si>
  <si>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</si>
  <si>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</si>
  <si>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</si>
  <si>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</si>
  <si>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</si>
  <si>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</si>
  <si>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</si>
  <si>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</si>
  <si>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</si>
  <si>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</si>
  <si>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</si>
  <si>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</si>
  <si>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</si>
  <si>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</si>
  <si>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</si>
  <si>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</si>
  <si>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</si>
  <si>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</si>
  <si>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</si>
  <si>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</si>
  <si>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</si>
  <si>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</si>
  <si>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</si>
  <si>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</si>
  <si>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</si>
  <si>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</si>
  <si>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</si>
  <si>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</si>
  <si>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</si>
  <si>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</si>
  <si>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</si>
  <si>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</si>
  <si>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</si>
  <si>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</si>
  <si>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</si>
  <si>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</si>
  <si>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</si>
  <si>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</si>
  <si>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</si>
  <si>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</si>
  <si>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</si>
  <si>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</si>
  <si>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</si>
  <si>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</si>
  <si>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</si>
  <si>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</si>
  <si>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</si>
  <si>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</si>
  <si>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</si>
  <si>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</si>
  <si>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</si>
  <si>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</si>
  <si>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</si>
  <si>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</si>
  <si>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</si>
  <si>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</si>
  <si>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</si>
  <si>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</si>
  <si>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</si>
  <si>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</si>
  <si>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</si>
  <si>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</si>
  <si>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</si>
  <si>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</si>
  <si>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</si>
  <si>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</si>
  <si>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</si>
  <si>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</si>
  <si>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</si>
  <si>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</si>
  <si>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</si>
  <si>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</si>
  <si>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</si>
  <si>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</si>
  <si>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</si>
  <si>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</si>
  <si>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</si>
  <si>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</si>
  <si>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</si>
  <si>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</si>
  <si>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</si>
  <si>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</si>
  <si>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</si>
  <si>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</si>
  <si>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</si>
  <si>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</si>
  <si>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</si>
  <si>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</si>
  <si>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</si>
  <si>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</si>
  <si>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</si>
  <si>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</si>
  <si>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</si>
  <si>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</si>
  <si>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</si>
  <si>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</si>
  <si>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</si>
  <si>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</si>
  <si>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</si>
  <si>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</si>
  <si>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</si>
  <si>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</si>
  <si>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</si>
  <si>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</si>
  <si>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</si>
  <si>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</si>
  <si>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</si>
  <si>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</si>
  <si>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</si>
  <si>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</si>
  <si>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</si>
  <si>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</si>
  <si>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</si>
  <si>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</si>
  <si>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</si>
  <si>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</si>
  <si>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</si>
  <si>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</si>
  <si>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</si>
  <si>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</si>
  <si>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</si>
  <si>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</si>
  <si>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</si>
  <si>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</si>
  <si>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</si>
  <si>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</si>
  <si>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</si>
  <si>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</si>
  <si>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</si>
  <si>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</si>
  <si>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</si>
  <si>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</si>
  <si>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</si>
  <si>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</si>
  <si>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</si>
  <si>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</si>
  <si>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</si>
  <si>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</si>
  <si>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</si>
  <si>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</si>
  <si>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</si>
  <si>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</si>
  <si>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</si>
  <si>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</si>
  <si>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</si>
  <si>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</si>
  <si>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</si>
  <si>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</si>
  <si>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</si>
  <si>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</si>
  <si>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</si>
  <si>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</si>
  <si>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</si>
  <si>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</si>
  <si>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</si>
  <si>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</si>
  <si>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</si>
  <si>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</si>
  <si>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</si>
  <si>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</si>
  <si>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</si>
  <si>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</si>
  <si>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</si>
  <si>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</si>
  <si>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</si>
  <si>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</si>
  <si>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</si>
  <si>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</si>
  <si>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</si>
  <si>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</si>
  <si>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</si>
  <si>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</si>
  <si>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</si>
  <si>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</si>
  <si>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</si>
  <si>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</si>
  <si>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</si>
  <si>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</si>
  <si>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</si>
  <si>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</si>
  <si>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</si>
  <si>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</si>
  <si>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</si>
  <si>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</si>
  <si>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</si>
  <si>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</si>
  <si>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</si>
  <si>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</si>
  <si>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</si>
  <si>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</si>
  <si>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</si>
  <si>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</si>
  <si>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</si>
  <si>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</si>
  <si>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</si>
  <si>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</si>
  <si>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</si>
  <si>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</si>
  <si>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</si>
  <si>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</si>
  <si>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</si>
  <si>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</si>
  <si>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</si>
  <si>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</si>
  <si>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</si>
  <si>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</si>
  <si>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</si>
  <si>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</si>
  <si>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</si>
  <si>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</si>
  <si>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</si>
  <si>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</si>
  <si>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</si>
  <si>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</si>
  <si>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</si>
  <si>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</si>
  <si>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</si>
  <si>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</si>
  <si>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</si>
  <si>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</si>
  <si>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</si>
  <si>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</si>
  <si>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</si>
  <si>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</si>
  <si>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</si>
  <si>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</si>
  <si>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</si>
  <si>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</si>
  <si>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</si>
  <si>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</si>
  <si>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</si>
  <si>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</si>
  <si>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</si>
  <si>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</si>
  <si>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</si>
  <si>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</si>
  <si>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</si>
  <si>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</si>
  <si>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</si>
  <si>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</si>
  <si>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</si>
  <si>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</si>
  <si>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</si>
  <si>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</si>
  <si>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</si>
  <si>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</si>
  <si>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</si>
  <si>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</si>
  <si>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</si>
  <si>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</si>
  <si>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</si>
  <si>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</si>
  <si>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</si>
  <si>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</si>
  <si>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</si>
  <si>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</si>
  <si>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</si>
  <si>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</si>
  <si>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</si>
  <si>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</si>
  <si>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</si>
  <si>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</si>
  <si>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</si>
  <si>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</si>
  <si>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</si>
  <si>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</si>
  <si>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</si>
  <si>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</si>
  <si>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</si>
  <si>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</si>
  <si>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</si>
  <si>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</si>
  <si>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</si>
  <si>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</si>
  <si>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</si>
  <si>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</si>
  <si>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</si>
  <si>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</si>
  <si>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</si>
  <si>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</si>
  <si>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</si>
  <si>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</si>
  <si>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</si>
  <si>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</si>
  <si>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</si>
  <si>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</si>
  <si>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</si>
  <si>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</si>
  <si>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</si>
  <si>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</si>
  <si>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</si>
  <si>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</si>
  <si>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</si>
  <si>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</si>
  <si>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</si>
  <si>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</si>
  <si>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</si>
  <si>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</si>
  <si>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</si>
  <si>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</si>
  <si>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</si>
  <si>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</si>
  <si>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</si>
  <si>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</si>
  <si>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</si>
  <si>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</si>
  <si>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</si>
  <si>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</si>
  <si>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</si>
  <si>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</si>
  <si>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</si>
  <si>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</si>
  <si>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</si>
  <si>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</si>
  <si>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</si>
  <si>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</si>
  <si>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</si>
  <si>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</si>
  <si>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</si>
  <si>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</si>
  <si>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</si>
  <si>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</si>
  <si>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</si>
  <si>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</si>
  <si>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</si>
  <si>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</si>
  <si>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</si>
  <si>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</si>
  <si>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</si>
  <si>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</si>
  <si>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</si>
  <si>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</si>
  <si>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</si>
  <si>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</si>
  <si>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</si>
  <si>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</si>
  <si>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</si>
  <si>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</si>
  <si>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</si>
  <si>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</si>
  <si>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</si>
  <si>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</si>
  <si>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</si>
  <si>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</si>
  <si>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</si>
  <si>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</si>
  <si>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</si>
  <si>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</si>
  <si>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</si>
  <si>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</si>
  <si>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</si>
  <si>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</si>
  <si>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</si>
  <si>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</si>
  <si>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</si>
  <si>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</si>
  <si>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</si>
  <si>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</si>
  <si>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</si>
  <si>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</si>
  <si>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</si>
  <si>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</si>
  <si>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</si>
  <si>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</si>
  <si>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</si>
  <si>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</si>
  <si>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</si>
  <si>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</si>
  <si>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</si>
  <si>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</si>
  <si>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</si>
  <si>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</si>
  <si>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</si>
  <si>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</si>
  <si>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</si>
  <si>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</si>
  <si>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</si>
  <si>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</si>
  <si>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</si>
  <si>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</si>
  <si>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</si>
  <si>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</si>
  <si>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</si>
  <si>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</si>
  <si>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</si>
  <si>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</si>
  <si>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</si>
  <si>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</si>
  <si>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</si>
  <si>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</si>
  <si>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</si>
  <si>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</si>
  <si>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</si>
  <si>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</si>
  <si>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</si>
  <si>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</si>
  <si>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</si>
  <si>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</si>
  <si>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</si>
  <si>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</si>
  <si>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</si>
  <si>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</si>
  <si>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</si>
  <si>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</si>
  <si>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</si>
  <si>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</si>
  <si>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</si>
  <si>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</si>
  <si>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</si>
  <si>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</si>
  <si>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</si>
  <si>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</si>
  <si>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</si>
  <si>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</si>
  <si>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</si>
  <si>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</si>
  <si>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</si>
  <si>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</si>
  <si>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</si>
  <si>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</si>
  <si>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</si>
  <si>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</si>
  <si>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</si>
  <si>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</si>
  <si>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</si>
  <si>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</si>
  <si>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</si>
  <si>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</si>
  <si>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</si>
  <si>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</si>
  <si>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</si>
  <si>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</si>
  <si>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</si>
  <si>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</si>
  <si>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</si>
  <si>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</si>
  <si>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</si>
  <si>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</si>
  <si>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</si>
  <si>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</si>
  <si>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</si>
  <si>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</si>
  <si>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</si>
  <si>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</si>
  <si>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</si>
  <si>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</si>
  <si>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</si>
  <si>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</si>
  <si>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</si>
  <si>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</si>
  <si>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</si>
  <si>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</si>
  <si>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</si>
  <si>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</si>
  <si>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</si>
  <si>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</si>
  <si>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</si>
  <si>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</si>
  <si>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</si>
  <si>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</si>
  <si>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</si>
  <si>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</si>
  <si>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</si>
  <si>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</si>
  <si>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</si>
  <si>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</si>
  <si>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</si>
  <si>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</si>
  <si>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</si>
  <si>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</si>
  <si>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</si>
  <si>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</si>
  <si>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</si>
  <si>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</si>
  <si>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</si>
  <si>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</si>
  <si>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</si>
  <si>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</si>
  <si>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</si>
  <si>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</si>
  <si>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</si>
  <si>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</si>
  <si>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</si>
  <si>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</si>
  <si>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</si>
  <si>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</si>
  <si>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</si>
  <si>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</si>
  <si>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</si>
  <si>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</si>
  <si>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</si>
  <si>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</si>
  <si>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</si>
  <si>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</si>
  <si>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</si>
  <si>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</si>
  <si>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</si>
  <si>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</si>
  <si>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</si>
  <si>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</si>
  <si>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</si>
  <si>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</si>
  <si>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</si>
  <si>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</si>
  <si>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</si>
  <si>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</si>
  <si>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</si>
  <si>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</si>
  <si>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</si>
  <si>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</si>
  <si>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</si>
  <si>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</si>
  <si>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</si>
  <si>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</si>
  <si>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</si>
  <si>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</si>
  <si>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</si>
  <si>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</si>
  <si>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</si>
  <si>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</si>
  <si>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</si>
  <si>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</si>
  <si>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</si>
  <si>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</si>
  <si>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</si>
  <si>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</si>
  <si>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</si>
  <si>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</si>
  <si>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</si>
  <si>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</si>
  <si>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</si>
  <si>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</si>
  <si>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</si>
  <si>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</si>
  <si>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</si>
  <si>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</si>
  <si>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</si>
  <si>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</si>
  <si>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</si>
  <si>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</si>
  <si>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</si>
  <si>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</si>
  <si>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</si>
  <si>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</si>
  <si>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</si>
  <si>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</si>
  <si>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</si>
  <si>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</si>
  <si>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</si>
  <si>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</si>
  <si>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</si>
  <si>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</si>
  <si>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</si>
  <si>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</si>
  <si>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</si>
  <si>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</si>
  <si>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</si>
  <si>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</si>
  <si>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</si>
  <si>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</si>
  <si>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</si>
  <si>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</si>
  <si>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</si>
  <si>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</si>
  <si>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</si>
  <si>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</si>
  <si>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</si>
  <si>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</si>
  <si>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</si>
  <si>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</si>
  <si>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</si>
  <si>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</si>
  <si>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</si>
  <si>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</si>
  <si>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</si>
  <si>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</si>
  <si>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</si>
  <si>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</si>
  <si>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</si>
  <si>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</si>
  <si>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</si>
  <si>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</si>
  <si>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</si>
  <si>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</si>
  <si>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</si>
  <si>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</si>
  <si>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</si>
  <si>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</si>
  <si>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</si>
  <si>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</si>
  <si>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</si>
  <si>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</si>
  <si>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</si>
  <si>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</si>
  <si>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</si>
  <si>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</si>
  <si>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</si>
  <si>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</si>
  <si>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</si>
  <si>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</si>
  <si>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</si>
  <si>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</si>
  <si>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</si>
  <si>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</si>
  <si>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</si>
  <si>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</si>
  <si>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</si>
  <si>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</si>
  <si>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</si>
  <si>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</si>
  <si>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</si>
  <si>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</si>
  <si>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</si>
  <si>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</si>
  <si>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</si>
  <si>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</si>
  <si>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</si>
  <si>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</si>
  <si>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</si>
  <si>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</si>
  <si>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</si>
  <si>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</si>
  <si>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</si>
  <si>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</si>
  <si>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</si>
  <si>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</si>
  <si>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</si>
  <si>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</si>
  <si>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</si>
  <si>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</si>
  <si>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</si>
  <si>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</si>
  <si>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</si>
  <si>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</si>
  <si>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</si>
  <si>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</si>
  <si>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</si>
  <si>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</si>
  <si>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</si>
  <si>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</si>
  <si>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</si>
  <si>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</si>
  <si>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</si>
  <si>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</si>
  <si>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</si>
  <si>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</si>
  <si>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</si>
  <si>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</si>
  <si>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</si>
  <si>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</si>
  <si>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</si>
  <si>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</si>
  <si>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</si>
  <si>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</si>
  <si>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</si>
  <si>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</si>
  <si>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</si>
  <si>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</si>
  <si>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</si>
  <si>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</si>
  <si>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</si>
  <si>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</si>
  <si>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</si>
  <si>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</si>
  <si>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</si>
  <si>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</si>
  <si>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</si>
  <si>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</si>
  <si>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</si>
  <si>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</si>
  <si>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</si>
  <si>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</si>
  <si>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</si>
  <si>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</si>
  <si>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</si>
  <si>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</si>
  <si>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</si>
  <si>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</si>
  <si>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</si>
  <si>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</si>
  <si>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</si>
  <si>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</si>
  <si>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</si>
  <si>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</si>
  <si>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</si>
  <si>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</si>
  <si>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</si>
  <si>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</si>
  <si>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</si>
  <si>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</si>
  <si>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</si>
  <si>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</si>
  <si>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</si>
  <si>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</si>
  <si>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</si>
  <si>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</si>
  <si>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</si>
  <si>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</si>
  <si>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</si>
  <si>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</si>
  <si>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</si>
  <si>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</si>
  <si>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</si>
  <si>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</si>
  <si>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</si>
  <si>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</si>
  <si>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</si>
  <si>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</si>
  <si>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</si>
  <si>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</si>
  <si>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</si>
  <si>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</si>
  <si>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</si>
  <si>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</si>
  <si>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</si>
  <si>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</si>
  <si>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</si>
  <si>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</si>
  <si>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</si>
  <si>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</si>
  <si>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</si>
  <si>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</si>
  <si>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</si>
  <si>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</si>
  <si>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</si>
  <si>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</si>
  <si>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</si>
  <si>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</si>
  <si>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</si>
  <si>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</si>
  <si>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</si>
  <si>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</si>
  <si>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</si>
  <si>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</si>
  <si>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</si>
  <si>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</si>
  <si>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</si>
  <si>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</si>
  <si>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</si>
  <si>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</si>
  <si>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</si>
  <si>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</si>
  <si>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</si>
  <si>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</si>
  <si>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</si>
  <si>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</si>
  <si>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</si>
  <si>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</si>
  <si>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</si>
  <si>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</si>
  <si>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</si>
  <si>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</si>
  <si>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</si>
  <si>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</si>
  <si>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</si>
  <si>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</si>
  <si>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</si>
  <si>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</si>
  <si>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</si>
  <si>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</si>
  <si>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</si>
  <si>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</si>
  <si>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</si>
  <si>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</si>
  <si>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</si>
  <si>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</si>
  <si>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</si>
  <si>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</si>
  <si>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</si>
  <si>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</si>
  <si>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</si>
  <si>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</si>
  <si>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</si>
  <si>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</si>
  <si>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</si>
  <si>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</si>
  <si>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</si>
  <si>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</si>
  <si>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</si>
  <si>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</si>
  <si>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</si>
  <si>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</si>
  <si>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</si>
  <si>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</si>
  <si>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</si>
  <si>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</si>
  <si>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</si>
  <si>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</si>
  <si>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</si>
  <si>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</si>
  <si>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</si>
  <si>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</si>
  <si>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</si>
  <si>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</si>
  <si>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</si>
  <si>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</si>
  <si>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</si>
  <si>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</si>
  <si>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</si>
  <si>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</si>
  <si>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</si>
  <si>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</si>
  <si>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</si>
  <si>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</si>
  <si>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</si>
  <si>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</si>
  <si>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</si>
  <si>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</si>
  <si>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</si>
  <si>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</si>
  <si>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</si>
  <si>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</si>
  <si>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</si>
  <si>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</si>
  <si>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</si>
  <si>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</si>
  <si>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</si>
  <si>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</si>
  <si>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</si>
  <si>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</si>
  <si>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</si>
  <si>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</si>
  <si>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</si>
  <si>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</si>
  <si>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</si>
  <si>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</si>
  <si>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</si>
  <si>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</si>
  <si>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</si>
  <si>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</si>
  <si>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</si>
  <si>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</si>
  <si>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</si>
  <si>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</si>
  <si>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</si>
  <si>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</si>
  <si>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</si>
  <si>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</si>
  <si>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</si>
  <si>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</si>
  <si>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</si>
  <si>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</si>
  <si>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</si>
  <si>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</si>
  <si>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</si>
  <si>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</si>
  <si>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</si>
  <si>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</si>
  <si>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</si>
  <si>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</si>
  <si>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</si>
  <si>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</si>
  <si>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</si>
  <si>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</si>
  <si>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</si>
  <si>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</si>
  <si>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</si>
  <si>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</si>
  <si>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</si>
  <si>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</si>
  <si>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</si>
  <si>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</si>
  <si>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</si>
  <si>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</si>
  <si>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</si>
  <si>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</si>
  <si>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</si>
  <si>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</si>
  <si>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</si>
  <si>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</si>
  <si>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</si>
  <si>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</si>
  <si>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</si>
  <si>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</si>
  <si>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</si>
  <si>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</si>
  <si>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</si>
  <si>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</si>
  <si>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</si>
  <si>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</si>
  <si>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</si>
  <si>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</si>
  <si>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</si>
  <si>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</si>
  <si>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</si>
  <si>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</si>
  <si>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</si>
  <si>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</si>
  <si>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</si>
  <si>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</si>
  <si>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</si>
  <si>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</si>
  <si>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</si>
  <si>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</si>
  <si>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</si>
  <si>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</si>
  <si>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</si>
  <si>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</si>
  <si>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</si>
  <si>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</si>
  <si>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</si>
  <si>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</si>
  <si>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</si>
  <si>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</si>
  <si>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</si>
  <si>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</si>
  <si>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</si>
  <si>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</si>
  <si>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</si>
  <si>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</si>
  <si>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</si>
  <si>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</si>
  <si>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</si>
  <si>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</si>
  <si>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</si>
  <si>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</si>
  <si>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</si>
  <si>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</si>
  <si>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</si>
  <si>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</si>
  <si>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</si>
  <si>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</si>
  <si>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</si>
  <si>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</si>
  <si>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</si>
  <si>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</si>
  <si>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</si>
  <si>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</si>
  <si>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</si>
  <si>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</si>
  <si>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</si>
  <si>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</si>
  <si>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</si>
  <si>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</si>
  <si>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</si>
  <si>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</si>
  <si>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</si>
  <si>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</si>
  <si>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</si>
  <si>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</si>
  <si>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</si>
  <si>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</si>
  <si>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</si>
  <si>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</si>
  <si>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</si>
  <si>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</si>
  <si>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</si>
  <si>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</si>
  <si>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</si>
  <si>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</si>
  <si>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</si>
  <si>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</si>
  <si>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</si>
  <si>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</si>
  <si>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</si>
  <si>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</si>
  <si>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</si>
  <si>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</si>
  <si>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</si>
  <si>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</si>
  <si>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</si>
  <si>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</si>
  <si>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</si>
  <si>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</si>
  <si>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</si>
  <si>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</si>
  <si>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</si>
  <si>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</si>
  <si>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</si>
  <si>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</si>
  <si>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</si>
  <si>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</si>
  <si>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</si>
  <si>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</si>
  <si>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</si>
  <si>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</si>
  <si>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</si>
  <si>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</si>
  <si>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</si>
  <si>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</si>
  <si>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</si>
  <si>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</si>
  <si>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</si>
  <si>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</si>
  <si>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</si>
  <si>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</si>
  <si>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</si>
  <si>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</si>
  <si>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</si>
  <si>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</si>
  <si>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</si>
  <si>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</si>
  <si>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</si>
  <si>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</si>
  <si>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</si>
  <si>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</si>
  <si>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</si>
  <si>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</si>
  <si>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</si>
  <si>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</si>
  <si>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</si>
  <si>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</si>
  <si>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</si>
  <si>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</si>
  <si>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</si>
  <si>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</si>
  <si>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</si>
  <si>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</si>
  <si>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</si>
  <si>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</si>
  <si>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</si>
  <si>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</si>
  <si>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</si>
  <si>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</si>
  <si>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</si>
  <si>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</si>
  <si>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</si>
  <si>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</si>
  <si>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</si>
  <si>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</si>
  <si>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</si>
  <si>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</si>
  <si>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</si>
  <si>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</si>
  <si>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</si>
  <si>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</si>
  <si>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</si>
  <si>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</si>
  <si>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</si>
  <si>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</si>
  <si>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</si>
  <si>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</si>
  <si>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</si>
  <si>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</si>
  <si>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</si>
  <si>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</si>
  <si>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</si>
  <si>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</si>
  <si>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</si>
  <si>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</si>
  <si>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</si>
  <si>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</si>
  <si>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</si>
  <si>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</si>
  <si>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</si>
  <si>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</si>
  <si>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</si>
  <si>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</si>
  <si>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</si>
  <si>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</si>
  <si>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</si>
  <si>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</si>
  <si>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</si>
  <si>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</si>
  <si>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</si>
  <si>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</si>
  <si>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</si>
  <si>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</si>
  <si>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</si>
  <si>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</si>
  <si>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</si>
  <si>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</si>
  <si>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</si>
  <si>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</si>
  <si>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</si>
  <si>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</si>
  <si>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</si>
  <si>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</si>
  <si>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</si>
  <si>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</si>
  <si>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</si>
  <si>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</si>
  <si>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</si>
  <si>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</si>
  <si>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</si>
  <si>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</si>
  <si>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</si>
  <si>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</si>
  <si>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</si>
  <si>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</si>
  <si>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</si>
  <si>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</si>
  <si>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</si>
  <si>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</si>
  <si>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</si>
  <si>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</si>
  <si>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</si>
  <si>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</si>
  <si>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</si>
  <si>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</si>
  <si>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</si>
  <si>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</si>
  <si>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</si>
  <si>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</si>
  <si>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</si>
  <si>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</si>
  <si>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</si>
  <si>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</si>
  <si>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</si>
  <si>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</si>
  <si>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</si>
  <si>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</si>
  <si>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</si>
  <si>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</si>
  <si>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</si>
  <si>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</si>
  <si>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</si>
  <si>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</si>
  <si>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</si>
  <si>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</si>
  <si>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</si>
  <si>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</si>
  <si>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</si>
  <si>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</si>
  <si>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</si>
  <si>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</si>
  <si>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</si>
  <si>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</si>
  <si>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</si>
  <si>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</si>
  <si>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</si>
  <si>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</si>
  <si>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</si>
  <si>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</si>
  <si>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</si>
  <si>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</si>
  <si>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</si>
  <si>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</si>
  <si>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</si>
  <si>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</si>
  <si>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</si>
  <si>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</si>
  <si>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</si>
  <si>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</si>
  <si>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</si>
  <si>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</si>
  <si>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</si>
  <si>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</si>
  <si>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</si>
  <si>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</si>
  <si>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</si>
  <si>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</si>
  <si>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</si>
  <si>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</si>
  <si>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</si>
  <si>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</si>
  <si>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</si>
  <si>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</si>
  <si>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</si>
  <si>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</si>
  <si>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</si>
  <si>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</si>
  <si>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</si>
  <si>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</si>
  <si>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</si>
  <si>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</si>
  <si>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</si>
  <si>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</si>
  <si>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</si>
  <si>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</si>
  <si>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</si>
  <si>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</si>
  <si>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</si>
  <si>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</si>
  <si>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</si>
  <si>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</si>
  <si>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</si>
  <si>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</si>
  <si>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</si>
  <si>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</si>
  <si>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</si>
  <si>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</si>
  <si>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</si>
  <si>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</si>
  <si>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</si>
  <si>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</si>
  <si>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</si>
  <si>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</si>
  <si>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</si>
  <si>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</si>
  <si>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</si>
  <si>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</si>
  <si>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</si>
  <si>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</si>
  <si>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</si>
  <si>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</si>
  <si>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</si>
  <si>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</si>
  <si>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</si>
  <si>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</si>
  <si>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</si>
  <si>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</si>
  <si>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</si>
  <si>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</si>
  <si>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</si>
  <si>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</si>
  <si>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</si>
  <si>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</si>
  <si>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</si>
  <si>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</si>
  <si>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</si>
  <si>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</si>
  <si>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</si>
  <si>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</si>
  <si>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</si>
  <si>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</si>
  <si>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</si>
  <si>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</si>
  <si>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</si>
  <si>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</si>
  <si>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</si>
  <si>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</si>
  <si>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</si>
  <si>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</si>
  <si>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</si>
  <si>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</si>
  <si>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</si>
  <si>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</si>
  <si>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</si>
  <si>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</si>
  <si>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</si>
  <si>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</si>
  <si>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</si>
  <si>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</si>
  <si>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</si>
  <si>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</si>
  <si>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</si>
  <si>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</si>
  <si>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</si>
  <si>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</si>
  <si>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</si>
  <si>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</si>
  <si>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</si>
  <si>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</si>
  <si>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</si>
  <si>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</si>
  <si>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</si>
  <si>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</si>
  <si>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</si>
  <si>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</si>
  <si>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</si>
  <si>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</si>
  <si>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</si>
  <si>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</si>
  <si>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</si>
  <si>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</si>
  <si>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</si>
  <si>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</si>
  <si>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</si>
  <si>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</si>
  <si>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</si>
  <si>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</si>
  <si>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</si>
  <si>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</si>
  <si>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</si>
  <si>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</si>
  <si>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</si>
  <si>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</si>
  <si>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</si>
  <si>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</si>
  <si>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</si>
  <si>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</si>
  <si>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</si>
  <si>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</si>
  <si>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</si>
  <si>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</si>
  <si>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</si>
  <si>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</si>
  <si>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</si>
  <si>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</si>
  <si>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</si>
  <si>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</si>
  <si>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</si>
  <si>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</si>
  <si>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</si>
  <si>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</si>
  <si>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</si>
  <si>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</si>
  <si>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</si>
  <si>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</si>
  <si>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</si>
  <si>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</si>
  <si>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</si>
  <si>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</si>
  <si>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</si>
  <si>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</si>
  <si>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</si>
  <si>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</si>
  <si>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</si>
  <si>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</si>
  <si>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</si>
  <si>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</si>
  <si>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</si>
  <si>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</si>
  <si>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</si>
  <si>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</si>
  <si>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</si>
  <si>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</si>
  <si>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</si>
  <si>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</si>
  <si>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</si>
  <si>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</si>
  <si>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</si>
  <si>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</si>
  <si>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</si>
  <si>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</si>
  <si>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</si>
  <si>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</si>
  <si>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</si>
  <si>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</si>
  <si>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</si>
  <si>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</si>
  <si>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</si>
  <si>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</si>
  <si>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</si>
  <si>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</si>
  <si>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</si>
  <si>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</si>
  <si>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</si>
  <si>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</si>
  <si>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</si>
  <si>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</si>
  <si>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</si>
  <si>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</si>
  <si>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</si>
  <si>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</si>
  <si>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</si>
  <si>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</si>
  <si>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</si>
  <si>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</si>
  <si>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</si>
  <si>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</si>
  <si>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</si>
  <si>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</si>
  <si>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</si>
  <si>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</si>
  <si>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</si>
  <si>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</si>
  <si>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</si>
  <si>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</si>
  <si>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</si>
  <si>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</si>
  <si>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</si>
  <si>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</si>
  <si>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</si>
  <si>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</si>
  <si>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</si>
  <si>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</si>
  <si>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</si>
  <si>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</si>
  <si>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</si>
  <si>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</si>
  <si>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</si>
  <si>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</si>
  <si>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</si>
  <si>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</si>
  <si>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</si>
  <si>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</si>
  <si>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</si>
  <si>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</si>
  <si>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</si>
  <si>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</si>
  <si>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</si>
  <si>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</si>
  <si>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</si>
  <si>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</si>
  <si>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</si>
  <si>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</si>
  <si>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</si>
  <si>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</si>
  <si>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</si>
  <si>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</si>
  <si>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</si>
  <si>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</si>
  <si>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</si>
  <si>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</si>
  <si>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</si>
  <si>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</si>
  <si>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</si>
  <si>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</si>
  <si>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</si>
  <si>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</si>
  <si>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</si>
  <si>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</si>
  <si>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</si>
  <si>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</si>
  <si>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</si>
  <si>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</si>
  <si>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</si>
  <si>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</si>
  <si>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</si>
  <si>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</si>
  <si>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</si>
  <si>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</si>
  <si>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</si>
  <si>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</si>
  <si>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</si>
  <si>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</si>
  <si>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</si>
  <si>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</si>
  <si>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</si>
  <si>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</si>
  <si>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</si>
  <si>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</si>
  <si>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</si>
  <si>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</si>
  <si>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</si>
  <si>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</si>
  <si>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</si>
  <si>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</si>
  <si>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</si>
  <si>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</si>
  <si>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</si>
  <si>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</si>
  <si>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</si>
  <si>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</si>
  <si>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</si>
  <si>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</si>
  <si>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</si>
  <si>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</si>
  <si>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</si>
  <si>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</si>
  <si>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</si>
  <si>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</si>
  <si>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</si>
  <si>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</si>
  <si>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</si>
  <si>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</si>
  <si>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</si>
  <si>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</si>
  <si>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</si>
  <si>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</si>
  <si>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</si>
  <si>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</si>
  <si>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</si>
  <si>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</si>
  <si>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</si>
  <si>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</si>
  <si>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</si>
  <si>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</si>
  <si>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</si>
  <si>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</si>
  <si>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</si>
  <si>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</si>
  <si>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</si>
  <si>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</si>
  <si>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</si>
  <si>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</si>
  <si>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</si>
  <si>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</si>
  <si>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</si>
  <si>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</si>
  <si>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</si>
  <si>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</si>
  <si>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</si>
  <si>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</si>
  <si>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</si>
  <si>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</si>
  <si>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</si>
  <si>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</si>
  <si>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</si>
  <si>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</si>
  <si>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</si>
  <si>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</si>
  <si>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</si>
  <si>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</si>
  <si>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</si>
  <si>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</si>
  <si>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</si>
  <si>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</si>
  <si>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</si>
  <si>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</si>
  <si>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</si>
  <si>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</si>
  <si>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</si>
  <si>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</si>
  <si>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</si>
  <si>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</si>
  <si>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</si>
  <si>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</si>
  <si>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</si>
  <si>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</si>
  <si>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</si>
  <si>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</si>
  <si>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</si>
  <si>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</si>
  <si>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</si>
  <si>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</si>
  <si>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</si>
  <si>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</si>
  <si>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</si>
  <si>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</si>
  <si>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</si>
  <si>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</si>
  <si>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</si>
  <si>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</si>
  <si>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</si>
  <si>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</si>
  <si>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</si>
  <si>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</si>
  <si>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</si>
  <si>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</si>
  <si>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</si>
  <si>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</si>
  <si>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</si>
  <si>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</si>
  <si>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</si>
  <si>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</si>
  <si>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</si>
  <si>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</si>
  <si>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</si>
  <si>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</si>
  <si>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</si>
  <si>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</si>
  <si>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</si>
  <si>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</si>
  <si>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</si>
  <si>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</si>
  <si>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</si>
  <si>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</si>
  <si>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</si>
  <si>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</si>
  <si>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</si>
  <si>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</si>
  <si>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</si>
  <si>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</si>
  <si>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</si>
  <si>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</si>
  <si>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</si>
  <si>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</si>
  <si>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</si>
  <si>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</si>
  <si>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</si>
  <si>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</si>
  <si>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</si>
  <si>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</si>
  <si>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</si>
  <si>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</si>
  <si>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</si>
  <si>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</si>
  <si>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</si>
  <si>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</si>
  <si>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</si>
  <si>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</si>
  <si>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</si>
  <si>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</si>
  <si>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</si>
  <si>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</si>
  <si>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</si>
  <si>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</si>
  <si>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</si>
  <si>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</si>
  <si>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</si>
  <si>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</si>
  <si>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</si>
  <si>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</si>
  <si>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</si>
  <si>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</si>
  <si>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</si>
  <si>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</si>
  <si>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</si>
  <si>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</si>
  <si>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</si>
  <si>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</si>
  <si>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</si>
  <si>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</si>
  <si>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</si>
  <si>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</si>
  <si>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</si>
  <si>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</si>
  <si>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</si>
  <si>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</si>
  <si>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</si>
  <si>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</si>
  <si>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</si>
  <si>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</si>
  <si>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</si>
  <si>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</si>
  <si>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</si>
  <si>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</si>
  <si>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</si>
  <si>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</si>
  <si>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</si>
  <si>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</si>
  <si>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</si>
  <si>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</si>
  <si>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</si>
  <si>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</si>
  <si>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</si>
  <si>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</si>
  <si>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</si>
  <si>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</si>
  <si>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</si>
  <si>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</si>
  <si>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</si>
  <si>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</si>
  <si>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</si>
  <si>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</si>
  <si>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</si>
  <si>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</si>
  <si>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</si>
  <si>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</si>
  <si>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</si>
  <si>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</si>
  <si>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</si>
  <si>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</si>
  <si>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</si>
  <si>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</si>
  <si>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</si>
  <si>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</si>
  <si>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</si>
  <si>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</si>
  <si>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</si>
  <si>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</si>
  <si>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</si>
  <si>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</si>
  <si>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</si>
  <si>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</si>
  <si>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</si>
  <si>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</si>
  <si>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</si>
  <si>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</si>
  <si>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</si>
  <si>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</si>
  <si>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</si>
  <si>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</si>
  <si>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</si>
  <si>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</si>
  <si>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</si>
  <si>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</si>
  <si>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</si>
  <si>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</si>
  <si>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</si>
  <si>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</si>
  <si>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</si>
  <si>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</si>
  <si>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</si>
  <si>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</si>
  <si>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</si>
  <si>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</si>
  <si>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</si>
  <si>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</si>
  <si>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</si>
  <si>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</si>
  <si>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</si>
  <si>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</si>
  <si>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</si>
  <si>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</si>
  <si>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</si>
  <si>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</si>
  <si>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</si>
  <si>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</si>
  <si>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</si>
  <si>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</si>
  <si>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</si>
  <si>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</si>
  <si>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</si>
  <si>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</si>
  <si>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</si>
  <si>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</si>
  <si>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</si>
  <si>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</si>
  <si>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</si>
  <si>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</si>
  <si>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</si>
  <si>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</si>
  <si>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</si>
  <si>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</si>
  <si>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</si>
  <si>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</si>
  <si>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</si>
  <si>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</si>
  <si>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</si>
  <si>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</si>
  <si>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</si>
  <si>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</si>
  <si>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</si>
  <si>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</si>
  <si>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</si>
  <si>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</si>
  <si>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</si>
  <si>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</si>
  <si>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</si>
  <si>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</si>
  <si>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</si>
  <si>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</si>
  <si>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</si>
  <si>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</si>
  <si>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</si>
  <si>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</si>
  <si>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</si>
  <si>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</si>
  <si>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</si>
  <si>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</si>
  <si>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</si>
  <si>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</si>
  <si>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</si>
  <si>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</si>
  <si>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</si>
  <si>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</si>
  <si>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</si>
  <si>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</si>
  <si>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</si>
  <si>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</si>
  <si>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</si>
  <si>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</si>
  <si>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</si>
  <si>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</si>
  <si>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</si>
  <si>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</si>
  <si>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</si>
  <si>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</si>
  <si>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</si>
  <si>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</si>
  <si>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</si>
  <si>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</si>
  <si>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</si>
  <si>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</si>
  <si>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</si>
  <si>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</si>
  <si>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</si>
  <si>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</si>
  <si>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</si>
  <si>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</si>
  <si>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</si>
  <si>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</si>
  <si>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</si>
  <si>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</si>
  <si>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</si>
  <si>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</si>
  <si>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</si>
  <si>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</si>
  <si>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</si>
  <si>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</si>
  <si>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</si>
  <si>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</si>
  <si>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</si>
  <si>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</si>
  <si>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</si>
  <si>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</si>
  <si>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</si>
  <si>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</si>
  <si>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</si>
  <si>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</si>
  <si>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</si>
  <si>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</si>
  <si>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</si>
  <si>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</si>
  <si>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</si>
  <si>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</si>
  <si>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</si>
  <si>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</si>
  <si>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</si>
  <si>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</si>
  <si>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</si>
  <si>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</si>
  <si>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</si>
  <si>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</si>
  <si>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</si>
  <si>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</si>
  <si>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</si>
  <si>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</si>
  <si>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</si>
  <si>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</si>
  <si>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</si>
  <si>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</si>
  <si>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</si>
  <si>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</si>
  <si>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</si>
  <si>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</si>
  <si>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</si>
  <si>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</si>
  <si>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</si>
  <si>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</si>
  <si>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</si>
  <si>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</si>
  <si>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</si>
  <si>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</si>
  <si>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</si>
  <si>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</si>
  <si>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</si>
  <si>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</si>
  <si>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</si>
  <si>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</si>
  <si>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</si>
  <si>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</si>
  <si>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</si>
  <si>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</si>
  <si>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</si>
  <si>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</si>
  <si>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</si>
  <si>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</si>
  <si>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</si>
  <si>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</si>
  <si>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</si>
  <si>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</si>
  <si>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</si>
  <si>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</si>
  <si>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</si>
  <si>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</si>
  <si>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</si>
  <si>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</si>
  <si>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</si>
  <si>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</si>
  <si>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</si>
  <si>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</si>
  <si>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</si>
  <si>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</si>
  <si>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</si>
  <si>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</si>
  <si>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</si>
  <si>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</si>
  <si>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</si>
  <si>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</si>
  <si>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</si>
  <si>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</si>
  <si>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</si>
  <si>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</si>
  <si>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</si>
  <si>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</si>
  <si>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</si>
  <si>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</si>
  <si>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</si>
  <si>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</si>
  <si>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</si>
  <si>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</si>
  <si>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</si>
  <si>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</si>
  <si>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</si>
  <si>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</si>
  <si>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</si>
  <si>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</si>
  <si>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</si>
  <si>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</si>
  <si>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</si>
  <si>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</si>
  <si>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</si>
  <si>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</si>
  <si>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</si>
  <si>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</si>
  <si>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</si>
  <si>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</si>
  <si>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</si>
  <si>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</si>
  <si>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</si>
  <si>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</si>
  <si>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</si>
  <si>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</si>
  <si>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</si>
  <si>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</si>
  <si>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</si>
  <si>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</si>
  <si>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</si>
  <si>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</si>
  <si>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</si>
  <si>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</si>
  <si>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</si>
  <si>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</si>
  <si>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</si>
  <si>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</si>
  <si>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</si>
  <si>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</si>
  <si>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</si>
  <si>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</si>
  <si>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</si>
  <si>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</si>
  <si>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</si>
  <si>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</si>
  <si>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</si>
  <si>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</si>
  <si>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</si>
  <si>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</si>
  <si>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</si>
  <si>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</si>
  <si>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</si>
  <si>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</si>
  <si>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</si>
  <si>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</si>
  <si>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</si>
  <si>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</si>
  <si>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</si>
  <si>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</si>
  <si>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</si>
  <si>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</si>
  <si>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</si>
  <si>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</si>
  <si>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</si>
  <si>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</si>
  <si>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</si>
  <si>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</si>
  <si>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</si>
  <si>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</si>
  <si>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</si>
  <si>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</si>
  <si>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</si>
  <si>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</si>
  <si>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</si>
  <si>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</si>
  <si>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</si>
  <si>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</si>
  <si>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</si>
  <si>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</si>
  <si>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</si>
  <si>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</si>
  <si>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</si>
  <si>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</si>
  <si>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</si>
  <si>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</si>
  <si>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</si>
  <si>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</si>
  <si>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</si>
  <si>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</si>
  <si>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</si>
  <si>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</si>
  <si>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</si>
  <si>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</si>
  <si>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</si>
  <si>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</si>
  <si>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</si>
  <si>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</si>
  <si>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</si>
  <si>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</si>
  <si>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</si>
  <si>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</si>
  <si>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</si>
  <si>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</si>
  <si>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</si>
  <si>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</si>
  <si>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</si>
  <si>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</si>
  <si>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</si>
  <si>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</si>
  <si>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</si>
  <si>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</si>
  <si>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</si>
  <si>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</si>
  <si>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</si>
  <si>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</si>
  <si>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</si>
  <si>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</si>
  <si>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</si>
  <si>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</si>
  <si>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</si>
  <si>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</si>
  <si>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</si>
  <si>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</si>
  <si>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</si>
  <si>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</si>
  <si>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</si>
  <si>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</si>
  <si>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</si>
  <si>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</si>
  <si>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</si>
  <si>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</si>
  <si>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</si>
  <si>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</si>
  <si>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</si>
  <si>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</si>
  <si>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</si>
  <si>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</si>
  <si>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</si>
  <si>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</si>
  <si>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</si>
  <si>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</si>
  <si>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</si>
  <si>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</si>
  <si>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</si>
  <si>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</si>
  <si>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</si>
  <si>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</si>
  <si>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</si>
  <si>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</si>
  <si>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</si>
  <si>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</si>
  <si>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</si>
  <si>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</si>
  <si>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</si>
  <si>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</si>
  <si>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</si>
  <si>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</si>
  <si>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</si>
  <si>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</si>
  <si>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</si>
  <si>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</si>
  <si>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</si>
  <si>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</si>
  <si>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</si>
  <si>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</si>
  <si>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</si>
  <si>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</si>
  <si>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</si>
  <si>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</si>
  <si>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</si>
  <si>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</si>
  <si>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</si>
  <si>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</si>
  <si>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</si>
  <si>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</si>
  <si>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</si>
  <si>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</si>
  <si>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</si>
  <si>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</si>
  <si>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</si>
  <si>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</si>
  <si>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</si>
  <si>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</si>
  <si>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</si>
  <si>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</si>
  <si>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</si>
  <si>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</si>
  <si>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</si>
  <si>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</si>
  <si>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</si>
  <si>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</si>
  <si>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</si>
  <si>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</si>
  <si>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</si>
  <si>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</si>
  <si>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</si>
  <si>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</si>
  <si>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</si>
  <si>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</si>
  <si>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</si>
  <si>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</si>
  <si>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</si>
  <si>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</si>
  <si>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</si>
  <si>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</si>
  <si>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</si>
  <si>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</si>
  <si>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</si>
  <si>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</si>
  <si>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</si>
  <si>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</si>
  <si>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</si>
  <si>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</si>
  <si>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</si>
  <si>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</si>
  <si>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</si>
  <si>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</si>
  <si>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</si>
  <si>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</si>
  <si>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</si>
  <si>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</si>
  <si>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</si>
  <si>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</si>
  <si>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</si>
  <si>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</si>
  <si>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</si>
  <si>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</si>
  <si>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</si>
  <si>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</si>
  <si>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</si>
  <si>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</si>
  <si>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</si>
  <si>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</si>
  <si>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</si>
  <si>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</si>
  <si>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</si>
  <si>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</si>
  <si>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</si>
  <si>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</si>
  <si>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</si>
  <si>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</si>
  <si>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</si>
  <si>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</si>
  <si>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</si>
  <si>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</si>
  <si>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</si>
  <si>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</si>
  <si>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</si>
  <si>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</si>
  <si>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</si>
  <si>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</si>
  <si>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</si>
  <si>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</si>
  <si>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</si>
  <si>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</si>
  <si>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</si>
  <si>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</si>
  <si>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</si>
  <si>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</si>
  <si>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</si>
  <si>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</si>
  <si>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</si>
  <si>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</si>
  <si>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</si>
  <si>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</si>
  <si>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</si>
  <si>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</si>
  <si>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</si>
  <si>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</si>
  <si>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</si>
  <si>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</si>
  <si>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</si>
  <si>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</si>
  <si>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</si>
  <si>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</si>
  <si>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</si>
  <si>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</si>
  <si>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</si>
  <si>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</si>
  <si>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</si>
  <si>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</si>
  <si>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</si>
  <si>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</si>
  <si>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</si>
  <si>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</si>
  <si>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</si>
  <si>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</si>
  <si>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</si>
  <si>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</si>
  <si>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</si>
  <si>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</si>
  <si>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</si>
  <si>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</si>
  <si>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</si>
  <si>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</si>
  <si>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</si>
  <si>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</si>
  <si>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</si>
  <si>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</si>
  <si>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</si>
  <si>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</si>
  <si>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</si>
  <si>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</si>
  <si>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</si>
  <si>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</si>
  <si>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</si>
  <si>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</si>
  <si>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</si>
  <si>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</si>
  <si>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</si>
  <si>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</si>
  <si>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</si>
  <si>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</si>
  <si>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</si>
  <si>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</si>
  <si>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</si>
  <si>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</si>
  <si>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</si>
  <si>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</si>
  <si>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</si>
  <si>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</si>
  <si>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</si>
  <si>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</si>
  <si>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</si>
  <si>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</si>
  <si>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</si>
  <si>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</si>
  <si>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</si>
  <si>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</si>
  <si>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</si>
  <si>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</si>
  <si>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</si>
  <si>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</si>
  <si>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</si>
  <si>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</si>
  <si>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</si>
  <si>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</si>
  <si>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</si>
  <si>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</si>
  <si>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</si>
  <si>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</si>
  <si>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</si>
  <si>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</si>
  <si>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</si>
  <si>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</si>
  <si>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</si>
  <si>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</si>
  <si>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</si>
  <si>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</si>
  <si>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</si>
  <si>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</si>
  <si>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</si>
  <si>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</si>
  <si>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</si>
  <si>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</si>
  <si>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</si>
  <si>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</si>
  <si>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</si>
  <si>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</si>
  <si>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</si>
  <si>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</si>
  <si>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</si>
  <si>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</si>
  <si>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</si>
  <si>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</si>
  <si>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</si>
  <si>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</si>
  <si>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</si>
  <si>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</si>
  <si>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</si>
  <si>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</si>
  <si>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</si>
  <si>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</si>
  <si>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</si>
  <si>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</si>
  <si>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</si>
  <si>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</si>
  <si>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</si>
  <si>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</si>
  <si>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</si>
  <si>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</si>
  <si>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</si>
  <si>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</si>
  <si>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</si>
  <si>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</si>
  <si>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</si>
  <si>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</si>
  <si>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</si>
  <si>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</si>
  <si>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</si>
  <si>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</si>
  <si>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</si>
  <si>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</si>
  <si>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</si>
  <si>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</si>
  <si>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</si>
  <si>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</si>
  <si>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</si>
  <si>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</si>
  <si>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</si>
  <si>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</si>
  <si>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</si>
  <si>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</si>
  <si>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</si>
  <si>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</si>
  <si>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</si>
  <si>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</si>
  <si>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</si>
  <si>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</si>
  <si>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</si>
  <si>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</si>
  <si>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</si>
  <si>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</si>
  <si>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</si>
  <si>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</si>
  <si>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</si>
  <si>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</si>
  <si>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</si>
  <si>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</si>
  <si>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</si>
  <si>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</si>
  <si>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</si>
  <si>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</si>
  <si>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</si>
  <si>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</si>
  <si>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</si>
  <si>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</si>
  <si>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</si>
  <si>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</si>
  <si>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</si>
  <si>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</si>
  <si>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</si>
  <si>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</si>
  <si>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</si>
  <si>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</si>
  <si>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</si>
  <si>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</si>
  <si>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</si>
  <si>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</si>
  <si>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</si>
  <si>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</si>
  <si>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</si>
  <si>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</si>
  <si>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</si>
  <si>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</si>
  <si>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</si>
  <si>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</si>
  <si>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</si>
  <si>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</si>
  <si>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</si>
  <si>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</si>
  <si>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</si>
  <si>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</si>
  <si>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</si>
  <si>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</si>
  <si>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</si>
  <si>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</si>
  <si>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</si>
  <si>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</si>
  <si>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</si>
  <si>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</si>
  <si>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</si>
  <si>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</si>
  <si>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</si>
  <si>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</si>
  <si>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</si>
  <si>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</si>
  <si>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</si>
  <si>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</si>
  <si>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</si>
  <si>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</si>
  <si>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</si>
  <si>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</si>
  <si>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</si>
  <si>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</si>
  <si>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</si>
  <si>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</si>
  <si>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</si>
  <si>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</si>
  <si>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</si>
  <si>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</si>
  <si>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</si>
  <si>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</si>
  <si>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</si>
  <si>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</si>
  <si>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</si>
  <si>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</si>
  <si>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</si>
  <si>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</si>
  <si>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</si>
  <si>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</si>
  <si>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</si>
  <si>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</si>
  <si>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</si>
  <si>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</si>
  <si>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</si>
  <si>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</si>
  <si>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</si>
  <si>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</si>
  <si>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</si>
  <si>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</si>
  <si>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</si>
  <si>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</si>
  <si>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</si>
  <si>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</si>
  <si>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</si>
  <si>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</si>
  <si>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</si>
  <si>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</si>
  <si>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</si>
  <si>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</si>
  <si>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</si>
  <si>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</si>
  <si>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</si>
  <si>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</si>
  <si>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</si>
  <si>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</si>
  <si>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</si>
  <si>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</si>
  <si>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</si>
  <si>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</si>
  <si>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</si>
  <si>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</si>
  <si>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</si>
  <si>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</si>
  <si>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</si>
  <si>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</si>
  <si>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</si>
  <si>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</si>
  <si>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</si>
  <si>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</si>
  <si>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</si>
  <si>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</si>
  <si>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</si>
  <si>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</si>
  <si>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</si>
  <si>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</si>
  <si>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</si>
  <si>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</si>
  <si>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</si>
  <si>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</si>
  <si>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</si>
  <si>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</si>
  <si>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</si>
  <si>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</si>
  <si>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</si>
  <si>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</si>
  <si>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</si>
  <si>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</si>
  <si>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</si>
  <si>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</si>
  <si>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</si>
  <si>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</si>
  <si>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</si>
  <si>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</si>
  <si>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</si>
  <si>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</si>
  <si>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</si>
  <si>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</si>
  <si>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</si>
  <si>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</si>
  <si>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</si>
  <si>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</si>
  <si>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</si>
  <si>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</si>
  <si>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</si>
  <si>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</si>
  <si>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</si>
  <si>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</si>
  <si>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</si>
  <si>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</si>
  <si>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</si>
  <si>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</si>
  <si>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</si>
  <si>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</si>
  <si>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</si>
  <si>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</si>
  <si>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</si>
  <si>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</si>
  <si>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</si>
  <si>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</si>
  <si>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</si>
  <si>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</si>
  <si>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</si>
  <si>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</si>
  <si>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</si>
  <si>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</si>
  <si>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</si>
  <si>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</si>
  <si>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</si>
  <si>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</si>
  <si>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</si>
  <si>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</si>
  <si>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</si>
  <si>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</si>
  <si>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</si>
  <si>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</si>
  <si>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</si>
  <si>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</si>
  <si>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</si>
  <si>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</si>
  <si>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</si>
  <si>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</si>
  <si>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</si>
  <si>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</si>
  <si>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</si>
  <si>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</si>
  <si>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</si>
  <si>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</si>
  <si>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</si>
  <si>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</si>
  <si>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</si>
  <si>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</si>
  <si>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</si>
  <si>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</si>
  <si>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</si>
  <si>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</si>
  <si>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</si>
  <si>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</si>
  <si>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</si>
  <si>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</si>
  <si>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</si>
  <si>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</si>
  <si>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</si>
  <si>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</si>
  <si>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</si>
  <si>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</si>
  <si>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</si>
  <si>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</si>
  <si>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</si>
  <si>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</si>
  <si>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</si>
  <si>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</si>
  <si>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</si>
  <si>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</si>
  <si>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</si>
  <si>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</si>
  <si>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</si>
  <si>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</si>
  <si>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</si>
  <si>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</si>
  <si>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</si>
  <si>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</si>
  <si>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</si>
  <si>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</si>
  <si>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</si>
  <si>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</si>
  <si>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</si>
  <si>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</si>
  <si>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</si>
  <si>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</si>
  <si>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</si>
  <si>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</si>
  <si>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</si>
  <si>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</si>
  <si>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</si>
  <si>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</si>
  <si>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</si>
  <si>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</si>
  <si>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</si>
  <si>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</si>
  <si>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</si>
  <si>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</si>
  <si>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</si>
  <si>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</si>
  <si>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</si>
  <si>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</si>
  <si>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</si>
  <si>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</si>
  <si>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</si>
  <si>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</si>
  <si>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</si>
  <si>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</si>
  <si>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</si>
  <si>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</si>
  <si>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</si>
  <si>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</si>
  <si>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</si>
  <si>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</si>
  <si>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</si>
  <si>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</si>
  <si>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</si>
  <si>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</si>
  <si>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</si>
  <si>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</si>
  <si>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</si>
  <si>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</si>
  <si>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</si>
  <si>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</si>
  <si>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</si>
  <si>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</si>
  <si>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</si>
  <si>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</si>
  <si>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</si>
  <si>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</si>
  <si>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</si>
  <si>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</si>
  <si>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</si>
  <si>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</si>
  <si>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</si>
  <si>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</si>
  <si>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</si>
  <si>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</si>
  <si>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</si>
  <si>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</si>
  <si>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</si>
  <si>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</si>
  <si>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</si>
  <si>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</si>
  <si>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</si>
  <si>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</si>
  <si>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</si>
  <si>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</si>
  <si>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</si>
  <si>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</si>
  <si>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</si>
  <si>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</si>
  <si>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</si>
  <si>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</si>
  <si>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</si>
  <si>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</si>
  <si>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</si>
  <si>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</si>
  <si>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</si>
  <si>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</si>
  <si>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</si>
  <si>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</si>
  <si>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</si>
  <si>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</si>
  <si>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</si>
  <si>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</si>
  <si>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</si>
  <si>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</si>
  <si>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</si>
  <si>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</si>
  <si>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</si>
  <si>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</si>
  <si>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</si>
  <si>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</si>
  <si>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</si>
  <si>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</si>
  <si>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</si>
  <si>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</si>
  <si>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</si>
  <si>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</si>
  <si>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</si>
  <si>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</si>
  <si>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</si>
  <si>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</si>
  <si>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</si>
  <si>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</si>
  <si>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</si>
  <si>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</si>
  <si>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</si>
  <si>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</si>
  <si>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</si>
  <si>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</si>
  <si>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</si>
  <si>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</si>
  <si>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</si>
  <si>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</si>
  <si>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</si>
  <si>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</si>
  <si>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</si>
  <si>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</si>
  <si>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</si>
  <si>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</si>
  <si>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</si>
  <si>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</si>
  <si>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</si>
  <si>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</si>
  <si>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</si>
  <si>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</si>
  <si>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</si>
  <si>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</si>
  <si>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</si>
  <si>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</si>
  <si>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</si>
  <si>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</si>
  <si>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</si>
  <si>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</si>
  <si>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</si>
  <si>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</si>
  <si>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</si>
  <si>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</si>
  <si>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</si>
  <si>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</si>
  <si>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</si>
  <si>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</si>
  <si>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</si>
  <si>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</si>
  <si>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</si>
  <si>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</si>
  <si>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</si>
  <si>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</si>
  <si>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</si>
  <si>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</si>
  <si>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</si>
  <si>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</si>
  <si>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</si>
  <si>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</si>
  <si>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</si>
  <si>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</si>
  <si>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</si>
  <si>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</si>
  <si>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</si>
  <si>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</si>
  <si>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</si>
  <si>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</si>
  <si>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</si>
  <si>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</si>
  <si>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</si>
  <si>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</si>
  <si>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</si>
  <si>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</si>
  <si>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</si>
  <si>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</si>
  <si>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</si>
  <si>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</si>
  <si>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</si>
  <si>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</si>
  <si>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</si>
  <si>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</si>
  <si>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</si>
  <si>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</si>
  <si>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</si>
  <si>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</si>
  <si>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</si>
  <si>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</si>
  <si>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</si>
  <si>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</si>
  <si>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</si>
  <si>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</si>
  <si>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</si>
  <si>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</si>
  <si>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</si>
  <si>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</si>
  <si>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</si>
  <si>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</si>
  <si>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</si>
  <si>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</si>
  <si>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</si>
  <si>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</si>
  <si>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</si>
  <si>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</si>
  <si>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</si>
  <si>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</si>
  <si>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</si>
  <si>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</si>
  <si>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</si>
  <si>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</si>
  <si>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</si>
  <si>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</si>
  <si>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</si>
  <si>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</si>
  <si>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</si>
  <si>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</si>
  <si>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</si>
  <si>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</si>
  <si>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</si>
  <si>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</si>
  <si>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</si>
  <si>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</si>
  <si>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</si>
  <si>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</si>
  <si>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</si>
  <si>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</si>
  <si>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</si>
  <si>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</si>
  <si>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</si>
  <si>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</si>
  <si>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</si>
  <si>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</si>
  <si>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</si>
  <si>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</si>
  <si>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</si>
  <si>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</si>
  <si>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</si>
  <si>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</si>
  <si>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</si>
  <si>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</si>
  <si>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</si>
  <si>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</si>
  <si>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</si>
  <si>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</si>
  <si>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</si>
  <si>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</si>
  <si>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</si>
  <si>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</si>
  <si>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</si>
  <si>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</si>
  <si>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</si>
  <si>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</si>
  <si>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</si>
  <si>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</si>
  <si>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</si>
  <si>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</si>
  <si>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</si>
  <si>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</si>
  <si>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</si>
  <si>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</si>
  <si>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</si>
  <si>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</si>
  <si>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</si>
  <si>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</si>
  <si>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</si>
  <si>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</si>
  <si>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</si>
  <si>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</si>
  <si>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</si>
  <si>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</si>
  <si>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</si>
  <si>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</si>
  <si>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</si>
  <si>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</si>
  <si>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</si>
  <si>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</si>
  <si>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</si>
  <si>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</si>
  <si>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</si>
  <si>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</si>
  <si>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</si>
  <si>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</si>
  <si>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</si>
  <si>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</si>
  <si>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</si>
  <si>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</si>
  <si>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</si>
  <si>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</si>
  <si>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</si>
  <si>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</si>
  <si>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</si>
  <si>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</si>
  <si>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</si>
  <si>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</si>
  <si>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</si>
  <si>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</si>
  <si>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</si>
  <si>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</si>
  <si>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</si>
  <si>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</si>
  <si>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</si>
  <si>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</si>
  <si>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</si>
  <si>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</si>
  <si>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</si>
  <si>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</si>
  <si>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</si>
  <si>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</si>
  <si>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</si>
  <si>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</si>
  <si>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</si>
  <si>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</si>
  <si>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</si>
  <si>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</si>
  <si>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</si>
  <si>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</si>
  <si>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</si>
  <si>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</si>
  <si>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</si>
  <si>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</si>
  <si>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</si>
  <si>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</si>
  <si>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</si>
  <si>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</si>
  <si>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</si>
  <si>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</si>
  <si>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</si>
  <si>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</si>
  <si>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</si>
  <si>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</si>
  <si>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</si>
  <si>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</si>
  <si>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</si>
  <si>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</si>
  <si>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</si>
  <si>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</si>
  <si>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</si>
  <si>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</si>
  <si>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</si>
  <si>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</si>
  <si>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</si>
  <si>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</si>
  <si>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</si>
  <si>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</si>
  <si>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</si>
  <si>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</si>
  <si>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</si>
  <si>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</si>
  <si>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</si>
  <si>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</si>
  <si>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</si>
  <si>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</si>
  <si>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</si>
  <si>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</si>
  <si>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</si>
  <si>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</si>
  <si>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</si>
  <si>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</si>
  <si>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</si>
  <si>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</si>
  <si>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</si>
  <si>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</si>
  <si>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</si>
  <si>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</si>
  <si>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</si>
  <si>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</si>
  <si>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</si>
  <si>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</si>
  <si>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</si>
  <si>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</si>
  <si>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</si>
  <si>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</si>
  <si>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</si>
  <si>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</si>
  <si>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</si>
  <si>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</si>
  <si>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</si>
  <si>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</si>
  <si>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</si>
  <si>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</si>
  <si>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</si>
  <si>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</si>
  <si>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</si>
  <si>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</si>
  <si>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</si>
  <si>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</si>
  <si>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</si>
  <si>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</si>
  <si>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</si>
  <si>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</si>
  <si>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</si>
  <si>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</si>
  <si>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</si>
  <si>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</si>
  <si>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</si>
  <si>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</si>
  <si>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</si>
  <si>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</si>
  <si>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</si>
  <si>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</si>
  <si>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</si>
  <si>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</si>
  <si>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</si>
  <si>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</si>
  <si>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</si>
  <si>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</si>
  <si>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</si>
  <si>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</si>
  <si>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</si>
  <si>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</si>
  <si>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</si>
  <si>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</si>
  <si>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</si>
  <si>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</si>
  <si>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</si>
  <si>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</si>
  <si>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</si>
  <si>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</si>
  <si>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</si>
  <si>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</si>
  <si>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</si>
  <si>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</si>
  <si>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</si>
  <si>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</si>
  <si>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</si>
  <si>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</si>
  <si>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</si>
  <si>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</si>
  <si>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</si>
  <si>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</si>
  <si>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</si>
  <si>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</si>
  <si>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</si>
  <si>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</si>
  <si>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</si>
  <si>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</si>
  <si>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</si>
  <si>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</si>
  <si>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</si>
  <si>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</si>
  <si>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</si>
  <si>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</si>
  <si>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</si>
  <si>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</si>
  <si>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</si>
  <si>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</si>
  <si>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</si>
  <si>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</si>
  <si>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</si>
  <si>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</si>
  <si>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</si>
  <si>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</si>
  <si>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</si>
  <si>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</si>
  <si>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</si>
  <si>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</si>
  <si>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</si>
  <si>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</si>
  <si>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</si>
  <si>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</si>
  <si>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</si>
  <si>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</si>
  <si>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</si>
  <si>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</si>
  <si>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</si>
  <si>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</si>
  <si>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</si>
  <si>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</si>
  <si>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</si>
  <si>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</si>
  <si>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</si>
  <si>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</si>
  <si>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</si>
  <si>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</si>
  <si>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</si>
  <si>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</si>
  <si>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</si>
  <si>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</si>
  <si>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</si>
  <si>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</si>
  <si>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</si>
  <si>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</si>
  <si>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</si>
  <si>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</si>
  <si>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</si>
  <si>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</si>
  <si>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</si>
  <si>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</si>
  <si>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</si>
  <si>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</si>
  <si>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</si>
  <si>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</si>
  <si>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</si>
  <si>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</si>
  <si>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</si>
  <si>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</si>
  <si>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</si>
  <si>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</si>
  <si>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</si>
  <si>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</si>
  <si>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</si>
  <si>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</si>
  <si>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</si>
  <si>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</si>
  <si>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</si>
  <si>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</si>
  <si>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</si>
  <si>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</si>
  <si>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</si>
  <si>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</si>
  <si>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</si>
  <si>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</si>
  <si>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</si>
  <si>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</si>
  <si>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</si>
  <si>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</si>
  <si>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</si>
  <si>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</si>
  <si>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</si>
  <si>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</si>
  <si>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</si>
  <si>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</si>
  <si>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</si>
  <si>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</si>
  <si>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</si>
  <si>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</si>
  <si>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</si>
  <si>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</si>
  <si>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</si>
  <si>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</si>
  <si>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</si>
  <si>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</si>
  <si>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</si>
  <si>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</si>
  <si>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</si>
  <si>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</si>
  <si>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</si>
  <si>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</si>
  <si>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</si>
  <si>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</si>
  <si>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</si>
  <si>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</si>
  <si>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</si>
  <si>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</si>
  <si>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</si>
  <si>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</si>
  <si>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</si>
  <si>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</si>
  <si>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</si>
  <si>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</si>
  <si>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</si>
  <si>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</si>
  <si>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</si>
  <si>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</si>
  <si>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</si>
  <si>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</si>
  <si>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</si>
  <si>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</si>
  <si>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</si>
  <si>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</si>
  <si>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</si>
  <si>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</si>
  <si>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</si>
  <si>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</si>
  <si>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</si>
  <si>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</si>
  <si>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</si>
  <si>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</si>
  <si>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</si>
  <si>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</si>
  <si>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</si>
  <si>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</si>
  <si>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</si>
  <si>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</si>
  <si>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</si>
  <si>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</si>
  <si>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</si>
  <si>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</si>
  <si>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</si>
  <si>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</si>
  <si>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</si>
  <si>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</si>
  <si>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</si>
  <si>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</si>
  <si>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</si>
  <si>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</si>
  <si>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</si>
  <si>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</si>
  <si>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</si>
  <si>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</si>
  <si>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</si>
  <si>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</si>
  <si>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</si>
  <si>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</si>
  <si>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</si>
  <si>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</si>
  <si>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</si>
  <si>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</si>
  <si>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</si>
  <si>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</si>
  <si>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</si>
  <si>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</si>
  <si>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</si>
  <si>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</si>
  <si>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</si>
  <si>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</si>
  <si>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</si>
  <si>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</si>
  <si>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</si>
  <si>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</si>
  <si>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</si>
  <si>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</si>
  <si>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</si>
  <si>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</si>
  <si>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</si>
  <si>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</si>
  <si>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</si>
  <si>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</si>
  <si>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</si>
  <si>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</si>
  <si>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</si>
  <si>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</si>
  <si>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</si>
  <si>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</si>
  <si>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</si>
  <si>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</si>
  <si>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</si>
  <si>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</si>
  <si>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</si>
  <si>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</si>
  <si>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</si>
  <si>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</si>
  <si>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</si>
  <si>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</si>
  <si>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</si>
  <si>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</si>
  <si>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</si>
  <si>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</si>
  <si>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</si>
  <si>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</si>
  <si>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</si>
  <si>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</si>
  <si>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</si>
  <si>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</si>
  <si>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</si>
  <si>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</si>
  <si>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</si>
  <si>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</si>
  <si>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</si>
  <si>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</si>
  <si>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</si>
  <si>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</si>
  <si>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</si>
  <si>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</si>
  <si>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</si>
  <si>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</si>
  <si>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</si>
  <si>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</si>
  <si>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</si>
  <si>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</si>
  <si>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</si>
  <si>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</si>
  <si>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</si>
  <si>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</si>
  <si>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</si>
  <si>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</si>
  <si>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</si>
  <si>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</si>
  <si>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</si>
  <si>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</si>
  <si>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</si>
  <si>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</si>
  <si>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</si>
  <si>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</si>
  <si>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</si>
  <si>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</si>
  <si>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</si>
  <si>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</si>
  <si>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</si>
  <si>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</si>
  <si>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</si>
  <si>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</si>
  <si>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</si>
  <si>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</si>
  <si>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</si>
  <si>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</si>
  <si>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</si>
  <si>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</si>
  <si>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</si>
  <si>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</si>
  <si>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</si>
  <si>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</si>
  <si>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</si>
  <si>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</si>
  <si>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</si>
  <si>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</si>
  <si>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</si>
  <si>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</si>
  <si>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</si>
  <si>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</si>
  <si>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</si>
  <si>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</si>
  <si>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</si>
  <si>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</si>
  <si>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</si>
  <si>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</si>
  <si>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</si>
  <si>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</si>
  <si>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</si>
  <si>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</si>
  <si>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</si>
  <si>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</si>
  <si>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</si>
  <si>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</si>
  <si>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</si>
  <si>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</si>
  <si>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</si>
  <si>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</si>
  <si>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</si>
  <si>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</si>
  <si>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</si>
  <si>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</si>
  <si>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</si>
  <si>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</si>
  <si>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</si>
  <si>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</si>
  <si>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</si>
  <si>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</si>
  <si>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</si>
  <si>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</si>
  <si>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</si>
  <si>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</si>
  <si>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</si>
  <si>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</si>
  <si>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</si>
  <si>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</si>
  <si>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</si>
  <si>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</si>
  <si>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</si>
  <si>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</si>
  <si>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</si>
  <si>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</si>
  <si>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</si>
  <si>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</si>
  <si>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</si>
  <si>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</si>
  <si>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</si>
  <si>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</si>
  <si>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</si>
  <si>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</si>
  <si>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</si>
  <si>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</si>
  <si>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</si>
  <si>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</si>
  <si>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</si>
  <si>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</si>
  <si>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</si>
  <si>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</si>
  <si>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</si>
  <si>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</si>
  <si>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</si>
  <si>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</si>
  <si>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</si>
  <si>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</si>
  <si>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</si>
  <si>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</si>
  <si>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</si>
  <si>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</si>
  <si>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</si>
  <si>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</si>
  <si>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</si>
  <si>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</si>
  <si>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</si>
  <si>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</si>
  <si>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</si>
  <si>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</si>
  <si>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</si>
  <si>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</si>
  <si>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</si>
  <si>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</si>
  <si>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</si>
  <si>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</si>
  <si>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</si>
  <si>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</si>
  <si>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</si>
  <si>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</si>
  <si>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</si>
  <si>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</si>
  <si>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</si>
  <si>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</si>
  <si>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</si>
  <si>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</si>
  <si>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</si>
  <si>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</si>
  <si>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</si>
  <si>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</si>
  <si>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</si>
  <si>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</si>
  <si>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</si>
  <si>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</si>
  <si>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</si>
  <si>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</si>
  <si>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</si>
  <si>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</si>
  <si>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</si>
  <si>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</si>
  <si>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</si>
  <si>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</si>
  <si>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</si>
  <si>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</si>
  <si>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</si>
  <si>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</si>
  <si>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</si>
  <si>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</si>
  <si>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</si>
  <si>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</si>
  <si>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</si>
  <si>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</si>
  <si>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</si>
  <si>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</si>
  <si>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</si>
  <si>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</si>
  <si>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</si>
  <si>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</si>
  <si>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</si>
  <si>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</si>
  <si>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</si>
  <si>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</si>
  <si>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</si>
  <si>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</si>
  <si>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</si>
  <si>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</si>
  <si>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</si>
  <si>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</si>
  <si>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</si>
  <si>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</si>
  <si>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</si>
  <si>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</si>
  <si>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</si>
  <si>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</si>
  <si>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</si>
  <si>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</si>
  <si>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</si>
  <si>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</si>
  <si>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</si>
  <si>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</si>
  <si>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</si>
  <si>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</si>
  <si>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</si>
  <si>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</si>
  <si>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</si>
  <si>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</si>
  <si>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</si>
  <si>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</si>
  <si>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</si>
  <si>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</si>
  <si>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</si>
  <si>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</si>
  <si>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</si>
  <si>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</si>
  <si>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</si>
  <si>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</si>
  <si>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</si>
  <si>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</si>
  <si>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</si>
  <si>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</si>
  <si>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</si>
  <si>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</si>
  <si>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</si>
  <si>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</si>
  <si>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</si>
  <si>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</si>
  <si>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</si>
  <si>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</si>
  <si>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</si>
  <si>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</si>
  <si>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</si>
  <si>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</si>
  <si>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</si>
  <si>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</si>
  <si>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</si>
  <si>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</si>
  <si>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</si>
  <si>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</si>
  <si>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</si>
  <si>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</si>
  <si>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</si>
  <si>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</si>
  <si>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</si>
  <si>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</si>
  <si>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</si>
  <si>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</si>
  <si>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</si>
  <si>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</si>
  <si>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</si>
  <si>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</si>
  <si>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</si>
  <si>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</si>
  <si>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</si>
  <si>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</si>
  <si>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</si>
  <si>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</si>
  <si>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</si>
  <si>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</si>
  <si>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</si>
  <si>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</si>
  <si>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</si>
  <si>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</si>
  <si>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</si>
  <si>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</si>
  <si>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</si>
  <si>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</si>
  <si>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</si>
  <si>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</si>
  <si>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</si>
  <si>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</si>
  <si>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</si>
  <si>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</si>
  <si>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</si>
  <si>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</si>
  <si>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</si>
  <si>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</si>
  <si>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</si>
  <si>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</si>
  <si>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</si>
  <si>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</si>
  <si>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</si>
  <si>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</si>
  <si>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</si>
  <si>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</si>
  <si>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</si>
  <si>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</si>
  <si>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</si>
  <si>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</si>
  <si>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</si>
  <si>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</si>
  <si>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</si>
  <si>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</si>
  <si>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</si>
  <si>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</si>
  <si>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</si>
  <si>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</si>
  <si>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</si>
  <si>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</si>
  <si>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</si>
  <si>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</si>
  <si>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</si>
  <si>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</si>
  <si>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</si>
  <si>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</si>
  <si>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</si>
  <si>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</si>
  <si>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</si>
  <si>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</si>
  <si>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</si>
  <si>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</si>
  <si>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</si>
  <si>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</si>
  <si>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</si>
  <si>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</si>
  <si>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</si>
  <si>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</si>
  <si>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</si>
  <si>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</si>
  <si>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</si>
  <si>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</si>
  <si>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</si>
  <si>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</si>
  <si>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</si>
  <si>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</si>
  <si>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</si>
  <si>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</si>
  <si>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</si>
  <si>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</si>
  <si>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</si>
  <si>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</si>
  <si>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</si>
  <si>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</si>
  <si>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</si>
  <si>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</si>
  <si>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</si>
  <si>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</si>
  <si>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</si>
  <si>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</si>
  <si>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</si>
  <si>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</si>
  <si>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</si>
  <si>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</si>
  <si>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</si>
  <si>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</si>
  <si>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</si>
  <si>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</si>
  <si>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</si>
  <si>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</si>
  <si>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</si>
  <si>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</si>
  <si>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</si>
  <si>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</si>
  <si>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</si>
  <si>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</si>
  <si>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</si>
  <si>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</si>
  <si>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</si>
  <si>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</si>
  <si>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</si>
  <si>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</si>
  <si>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</si>
  <si>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</si>
  <si>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</si>
  <si>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</si>
  <si>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</si>
  <si>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</si>
  <si>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</si>
  <si>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</si>
  <si>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</si>
  <si>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</si>
  <si>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</si>
  <si>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</si>
  <si>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</si>
  <si>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</si>
  <si>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</si>
  <si>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</si>
  <si>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</si>
  <si>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</si>
  <si>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</si>
  <si>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</si>
  <si>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</si>
  <si>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</si>
  <si>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</si>
  <si>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</si>
  <si>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</si>
  <si>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</si>
  <si>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</si>
  <si>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</si>
  <si>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</si>
  <si>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</si>
  <si>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</si>
  <si>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</si>
  <si>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</si>
  <si>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</si>
  <si>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</si>
  <si>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</si>
  <si>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</si>
  <si>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</si>
  <si>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</si>
  <si>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</si>
  <si>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</si>
  <si>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</si>
  <si>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</si>
  <si>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</si>
  <si>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</si>
  <si>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</si>
  <si>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</si>
  <si>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</si>
  <si>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</si>
  <si>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</si>
  <si>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</si>
  <si>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</si>
  <si>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</si>
  <si>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</si>
  <si>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</si>
  <si>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</si>
  <si>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</si>
  <si>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</si>
  <si>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</si>
  <si>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</si>
  <si>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</si>
  <si>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</si>
  <si>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</si>
  <si>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</si>
  <si>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</si>
  <si>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</si>
  <si>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</si>
  <si>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</si>
  <si>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</si>
  <si>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</si>
  <si>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</si>
  <si>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</si>
  <si>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</si>
  <si>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</si>
  <si>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</si>
  <si>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</si>
  <si>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</si>
  <si>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</si>
  <si>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</si>
  <si>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</si>
  <si>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</si>
  <si>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</si>
  <si>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</si>
  <si>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</si>
  <si>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</si>
  <si>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</si>
  <si>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</si>
  <si>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</si>
  <si>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</si>
  <si>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</si>
  <si>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</si>
  <si>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</si>
  <si>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</si>
  <si>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</si>
  <si>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</si>
  <si>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</si>
  <si>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</si>
  <si>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</si>
  <si>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</si>
  <si>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</si>
  <si>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</si>
  <si>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</si>
  <si>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</si>
  <si>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</si>
  <si>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</si>
  <si>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</si>
  <si>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</si>
  <si>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</si>
  <si>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</si>
  <si>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</si>
  <si>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</si>
  <si>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</si>
  <si>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</si>
  <si>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</si>
  <si>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</si>
  <si>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</si>
  <si>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</si>
  <si>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</si>
  <si>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</si>
  <si>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</si>
  <si>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</si>
  <si>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</si>
  <si>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</si>
  <si>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</si>
  <si>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</si>
  <si>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</si>
  <si>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</si>
  <si>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</si>
  <si>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</si>
  <si>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</si>
  <si>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</si>
  <si>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</si>
  <si>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</si>
  <si>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</si>
  <si>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</si>
  <si>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</si>
  <si>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</si>
  <si>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</si>
  <si>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</si>
  <si>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</si>
  <si>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</si>
  <si>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</si>
  <si>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</si>
  <si>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</si>
  <si>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</si>
  <si>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</si>
  <si>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</si>
  <si>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</si>
  <si>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</si>
  <si>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</si>
  <si>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</si>
  <si>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</si>
  <si>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</si>
  <si>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</si>
  <si>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</si>
  <si>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</si>
  <si>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</si>
  <si>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</si>
  <si>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</si>
  <si>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</si>
  <si>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</si>
  <si>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</si>
  <si>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</si>
  <si>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</si>
  <si>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</si>
  <si>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</si>
  <si>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</si>
  <si>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</si>
  <si>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</si>
  <si>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</si>
  <si>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</si>
  <si>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</si>
  <si>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</si>
  <si>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</si>
  <si>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</si>
  <si>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</si>
  <si>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</si>
  <si>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</si>
  <si>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</si>
  <si>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</si>
  <si>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</si>
  <si>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</si>
  <si>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</si>
  <si>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</si>
  <si>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</si>
  <si>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</si>
  <si>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</si>
  <si>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</si>
  <si>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</si>
  <si>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</si>
  <si>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</si>
  <si>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</si>
  <si>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</si>
  <si>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</si>
  <si>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</si>
  <si>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</si>
  <si>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</si>
  <si>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</si>
  <si>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</si>
  <si>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</si>
  <si>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</si>
  <si>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</si>
  <si>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</si>
  <si>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</si>
  <si>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</si>
  <si>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</si>
  <si>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</si>
  <si>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</si>
  <si>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</si>
  <si>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</si>
  <si>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</si>
  <si>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</si>
  <si>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</si>
  <si>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</si>
  <si>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</si>
  <si>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</si>
  <si>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</si>
  <si>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</si>
  <si>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</si>
  <si>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</si>
  <si>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</si>
  <si>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</si>
  <si>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</si>
  <si>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</si>
  <si>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</si>
  <si>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</si>
  <si>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</si>
  <si>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</si>
  <si>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</si>
  <si>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</si>
  <si>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</si>
  <si>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</si>
  <si>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</si>
  <si>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</si>
  <si>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</si>
  <si>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</si>
  <si>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</si>
  <si>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</si>
  <si>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</si>
  <si>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</si>
  <si>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</si>
  <si>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</si>
  <si>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</si>
  <si>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</si>
  <si>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</si>
  <si>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</si>
  <si>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</si>
  <si>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</si>
  <si>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</si>
  <si>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</si>
  <si>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</si>
  <si>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</si>
  <si>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</si>
  <si>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</si>
  <si>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</si>
  <si>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</si>
  <si>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</si>
  <si>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</si>
  <si>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</si>
  <si>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</si>
  <si>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</si>
  <si>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</si>
  <si>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</si>
  <si>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</si>
  <si>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</si>
  <si>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</si>
  <si>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</si>
  <si>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</si>
  <si>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</si>
  <si>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</si>
  <si>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</si>
  <si>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</si>
  <si>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</si>
  <si>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</si>
  <si>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</si>
  <si>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</si>
  <si>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</si>
  <si>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</si>
  <si>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</si>
  <si>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</si>
  <si>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</si>
  <si>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</si>
  <si>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</si>
  <si>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</si>
  <si>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</si>
  <si>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</si>
  <si>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</si>
  <si>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</si>
  <si>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</si>
  <si>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</si>
  <si>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</si>
  <si>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</si>
  <si>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</si>
  <si>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</si>
  <si>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</si>
  <si>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</si>
  <si>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</si>
  <si>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</si>
  <si>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</si>
  <si>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</si>
  <si>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</si>
  <si>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</si>
  <si>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</si>
  <si>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</si>
  <si>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</si>
  <si>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</si>
  <si>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</si>
  <si>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</si>
  <si>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</si>
  <si>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</si>
  <si>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</si>
  <si>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</si>
  <si>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</si>
  <si>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</si>
  <si>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</si>
  <si>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</si>
  <si>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</si>
  <si>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</si>
  <si>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</si>
  <si>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</si>
  <si>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</si>
  <si>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</si>
  <si>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</si>
  <si>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</si>
  <si>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</si>
  <si>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</si>
  <si>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</si>
  <si>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</si>
  <si>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</si>
  <si>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</si>
  <si>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</si>
  <si>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</si>
  <si>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</si>
  <si>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</si>
  <si>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</si>
  <si>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</si>
  <si>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</si>
  <si>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</si>
  <si>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</si>
  <si>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</si>
  <si>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</si>
  <si>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</si>
  <si>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</si>
  <si>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</si>
  <si>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</si>
  <si>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</si>
  <si>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</si>
  <si>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</si>
  <si>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</si>
  <si>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</si>
  <si>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</si>
  <si>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</si>
  <si>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</si>
  <si>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</si>
  <si>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</si>
  <si>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</si>
  <si>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</si>
  <si>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</si>
  <si>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</si>
  <si>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</si>
  <si>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</si>
  <si>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</si>
  <si>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</si>
  <si>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</si>
  <si>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</si>
  <si>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</si>
  <si>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</si>
  <si>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</si>
  <si>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</si>
  <si>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</si>
  <si>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</si>
  <si>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</si>
  <si>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</si>
  <si>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</si>
  <si>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</si>
  <si>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</si>
  <si>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</si>
  <si>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</si>
  <si>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</si>
  <si>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</si>
  <si>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</si>
  <si>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</si>
  <si>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</si>
  <si>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</si>
  <si>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</si>
  <si>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</si>
  <si>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</si>
  <si>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</si>
  <si>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</si>
  <si>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</si>
  <si>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</si>
  <si>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</si>
  <si>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</si>
  <si>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</si>
  <si>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</si>
  <si>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</si>
  <si>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</si>
  <si>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</si>
  <si>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</si>
  <si>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</si>
  <si>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</si>
  <si>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</si>
  <si>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</si>
  <si>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</si>
  <si>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</si>
  <si>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</si>
  <si>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</si>
  <si>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</si>
  <si>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</si>
  <si>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</si>
  <si>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</si>
  <si>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</si>
  <si>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</si>
  <si>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</si>
  <si>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</si>
  <si>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</si>
  <si>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</si>
  <si>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</si>
  <si>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</si>
  <si>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</si>
  <si>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</si>
  <si>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</si>
  <si>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</si>
  <si>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</si>
  <si>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</si>
  <si>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</si>
  <si>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</si>
  <si>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</si>
  <si>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</si>
  <si>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</si>
  <si>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</si>
  <si>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</si>
  <si>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</si>
  <si>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</si>
  <si>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</si>
  <si>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</si>
  <si>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</si>
  <si>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</si>
  <si>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</si>
  <si>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</si>
  <si>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</si>
  <si>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</si>
  <si>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</si>
  <si>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</si>
  <si>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</si>
  <si>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</si>
  <si>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</si>
  <si>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</si>
  <si>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</si>
  <si>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</si>
  <si>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</si>
  <si>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</si>
  <si>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</si>
  <si>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</si>
  <si>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</si>
  <si>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</si>
  <si>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</si>
  <si>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</si>
  <si>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</si>
  <si>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</si>
  <si>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</si>
  <si>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</si>
  <si>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</si>
  <si>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</si>
  <si>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</si>
  <si>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</si>
  <si>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</si>
  <si>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</si>
  <si>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</si>
  <si>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</si>
  <si>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</si>
  <si>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</si>
  <si>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</si>
  <si>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</si>
  <si>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</si>
  <si>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</si>
  <si>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</si>
  <si>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</si>
  <si>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</si>
  <si>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</si>
  <si>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</si>
  <si>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</si>
  <si>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</si>
  <si>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</si>
  <si>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</si>
  <si>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</si>
  <si>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</si>
  <si>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</si>
  <si>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</si>
  <si>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</si>
  <si>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</si>
  <si>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</si>
  <si>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</si>
  <si>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</si>
  <si>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</si>
  <si>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</si>
  <si>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</si>
  <si>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</si>
  <si>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</si>
  <si>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</si>
  <si>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</si>
  <si>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</si>
  <si>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</si>
  <si>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</si>
  <si>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</si>
  <si>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</si>
  <si>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</si>
  <si>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</si>
  <si>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</si>
  <si>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</si>
  <si>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</si>
  <si>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</si>
  <si>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</si>
  <si>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</si>
  <si>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</si>
  <si>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</si>
  <si>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</si>
  <si>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</si>
  <si>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</si>
  <si>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</si>
  <si>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</si>
  <si>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</si>
  <si>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</si>
  <si>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</si>
  <si>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</si>
  <si>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</si>
  <si>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</si>
  <si>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</si>
  <si>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</si>
  <si>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</si>
  <si>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</si>
  <si>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</si>
  <si>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</si>
  <si>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</si>
  <si>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</si>
  <si>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</si>
  <si>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</si>
  <si>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</si>
  <si>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</si>
  <si>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</si>
  <si>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</si>
  <si>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</si>
  <si>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</si>
  <si>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</si>
  <si>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</si>
  <si>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</si>
  <si>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</si>
  <si>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</si>
  <si>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</si>
  <si>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</si>
  <si>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</si>
  <si>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</si>
  <si>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</si>
  <si>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</si>
  <si>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</si>
  <si>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</si>
  <si>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</si>
  <si>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</si>
  <si>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</si>
  <si>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</si>
  <si>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</si>
  <si>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</si>
  <si>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</si>
  <si>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</si>
  <si>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</si>
  <si>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</si>
  <si>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</si>
  <si>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</si>
  <si>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</si>
  <si>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</si>
  <si>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</si>
  <si>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</si>
  <si>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</si>
  <si>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</si>
  <si>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</si>
  <si>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</si>
  <si>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</si>
  <si>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</si>
  <si>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</si>
  <si>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</si>
  <si>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</si>
  <si>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</si>
  <si>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</si>
  <si>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</si>
  <si>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</si>
  <si>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</si>
  <si>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</si>
  <si>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</si>
  <si>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</si>
  <si>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</si>
  <si>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</si>
  <si>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</si>
  <si>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</si>
  <si>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</si>
  <si>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</si>
  <si>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</si>
  <si>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</si>
  <si>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</si>
  <si>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</si>
  <si>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</si>
  <si>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</si>
  <si>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</si>
  <si>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</si>
  <si>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</si>
  <si>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</si>
  <si>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</si>
  <si>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</si>
  <si>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</si>
  <si>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</si>
  <si>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</si>
  <si>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</si>
  <si>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</si>
  <si>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</si>
  <si>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</si>
  <si>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</si>
  <si>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</si>
  <si>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</si>
  <si>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</si>
  <si>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</si>
  <si>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</si>
  <si>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</si>
  <si>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</si>
  <si>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</si>
  <si>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</si>
  <si>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</si>
  <si>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</si>
  <si>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</si>
  <si>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</si>
  <si>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</si>
  <si>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</si>
  <si>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</si>
  <si>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</si>
  <si>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</si>
  <si>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</si>
  <si>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</si>
  <si>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</si>
  <si>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</si>
  <si>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</si>
  <si>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</si>
  <si>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</si>
  <si>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</si>
  <si>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</si>
  <si>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</si>
  <si>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</si>
  <si>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</si>
  <si>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</si>
  <si>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</si>
  <si>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</si>
  <si>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</si>
  <si>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</si>
  <si>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</si>
  <si>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</si>
  <si>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</si>
  <si>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</si>
  <si>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</si>
  <si>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</si>
  <si>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</si>
  <si>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</si>
  <si>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</si>
  <si>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</si>
  <si>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</si>
  <si>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</si>
  <si>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</si>
  <si>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</si>
  <si>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</si>
  <si>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</si>
  <si>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</si>
  <si>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</si>
  <si>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</si>
  <si>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</si>
  <si>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</si>
  <si>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</si>
  <si>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</si>
  <si>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</si>
  <si>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</si>
  <si>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</si>
  <si>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</si>
  <si>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</si>
  <si>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</si>
  <si>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</si>
  <si>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</si>
  <si>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</si>
  <si>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</si>
  <si>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</si>
  <si>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</si>
  <si>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</si>
  <si>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</si>
  <si>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</si>
  <si>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</si>
  <si>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</si>
  <si>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</si>
  <si>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</si>
  <si>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</si>
  <si>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</si>
  <si>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</si>
  <si>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</si>
  <si>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</si>
  <si>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</si>
  <si>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</si>
  <si>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</si>
  <si>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</si>
  <si>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</si>
  <si>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</si>
  <si>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</si>
  <si>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</si>
  <si>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</si>
  <si>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</si>
  <si>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</si>
  <si>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</si>
  <si>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</si>
  <si>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</si>
  <si>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</si>
  <si>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</si>
  <si>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</si>
  <si>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</si>
  <si>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</si>
  <si>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</si>
  <si>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</si>
  <si>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</si>
  <si>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</si>
  <si>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</si>
  <si>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</si>
  <si>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</si>
  <si>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</si>
  <si>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</si>
  <si>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</si>
  <si>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</si>
  <si>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</si>
  <si>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</si>
  <si>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</si>
  <si>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</si>
  <si>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</si>
  <si>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</si>
  <si>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</si>
  <si>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</si>
  <si>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</si>
  <si>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</si>
  <si>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</si>
  <si>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</si>
  <si>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</si>
  <si>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</si>
  <si>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</si>
  <si>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</si>
  <si>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</si>
  <si>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</si>
  <si>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</si>
  <si>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</si>
  <si>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</si>
  <si>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</si>
  <si>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</si>
  <si>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</si>
  <si>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</si>
  <si>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</si>
  <si>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</si>
  <si>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</si>
  <si>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</si>
  <si>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</si>
  <si>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</si>
  <si>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</si>
  <si>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</si>
  <si>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</si>
  <si>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</si>
  <si>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</si>
  <si>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</si>
  <si>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</si>
  <si>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</si>
  <si>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</si>
  <si>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</si>
  <si>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</si>
  <si>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</si>
  <si>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</si>
  <si>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</si>
  <si>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</si>
  <si>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</si>
  <si>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</si>
  <si>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</si>
  <si>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</si>
  <si>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</si>
  <si>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</si>
  <si>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</si>
  <si>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</si>
  <si>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</si>
  <si>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</si>
  <si>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</si>
  <si>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</si>
  <si>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</si>
  <si>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</si>
  <si>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</si>
  <si>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</si>
  <si>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</si>
  <si>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</si>
  <si>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</si>
  <si>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</si>
  <si>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</si>
  <si>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</si>
  <si>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</si>
  <si>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</si>
  <si>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</si>
  <si>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</si>
  <si>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</si>
  <si>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</si>
  <si>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</si>
  <si>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</si>
  <si>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</si>
  <si>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</si>
  <si>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</si>
  <si>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</si>
  <si>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</si>
  <si>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</si>
  <si>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</si>
  <si>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</si>
  <si>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</si>
  <si>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</si>
  <si>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</si>
  <si>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</si>
  <si>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</si>
  <si>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</si>
  <si>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</si>
  <si>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</si>
  <si>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</si>
  <si>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</si>
  <si>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</si>
  <si>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</si>
  <si>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</si>
  <si>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</si>
  <si>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</si>
  <si>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</si>
  <si>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</si>
  <si>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</si>
  <si>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</si>
  <si>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</si>
  <si>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</si>
  <si>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</si>
  <si>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</si>
  <si>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</si>
  <si>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</si>
  <si>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</si>
  <si>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</si>
  <si>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</si>
  <si>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</si>
  <si>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</si>
  <si>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</si>
  <si>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</si>
  <si>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</si>
  <si>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</si>
  <si>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</si>
  <si>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</si>
  <si>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</si>
  <si>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</si>
  <si>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</si>
  <si>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</si>
  <si>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</si>
  <si>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</si>
  <si>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</si>
  <si>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</si>
  <si>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</si>
  <si>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</si>
  <si>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</si>
  <si>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</si>
  <si>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</si>
  <si>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</si>
  <si>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</si>
  <si>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</si>
  <si>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</si>
  <si>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</si>
  <si>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</si>
  <si>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</si>
  <si>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</si>
  <si>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</si>
  <si>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</si>
  <si>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</si>
  <si>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</si>
  <si>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</si>
  <si>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</si>
  <si>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</si>
  <si>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</si>
  <si>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</si>
  <si>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</si>
  <si>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</si>
  <si>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</si>
  <si>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</si>
  <si>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</si>
  <si>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</si>
  <si>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</si>
  <si>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</si>
  <si>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</si>
  <si>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</si>
  <si>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</si>
  <si>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</si>
  <si>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</si>
  <si>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</si>
  <si>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</si>
  <si>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</si>
  <si>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</si>
  <si>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</si>
  <si>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</si>
  <si>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</si>
  <si>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</si>
  <si>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</si>
  <si>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</si>
  <si>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</si>
  <si>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</si>
  <si>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</si>
  <si>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</si>
  <si>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</si>
  <si>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</si>
  <si>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</si>
  <si>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</si>
  <si>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</si>
  <si>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</si>
  <si>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</si>
  <si>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</si>
  <si>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</si>
  <si>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</si>
  <si>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</si>
  <si>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</si>
  <si>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</si>
  <si>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</si>
  <si>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</si>
  <si>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</si>
  <si>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</si>
  <si>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</si>
  <si>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</si>
  <si>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</si>
  <si>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</si>
  <si>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</si>
  <si>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</si>
  <si>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</si>
  <si>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</si>
  <si>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</si>
  <si>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</si>
  <si>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</si>
  <si>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</si>
  <si>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</si>
  <si>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</si>
  <si>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</si>
  <si>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</si>
  <si>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</si>
  <si>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</si>
  <si>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</si>
  <si>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</si>
  <si>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</si>
  <si>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</si>
  <si>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</si>
  <si>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</si>
  <si>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</si>
  <si>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</si>
  <si>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</si>
  <si>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</si>
  <si>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</si>
  <si>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</si>
  <si>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</si>
  <si>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</si>
  <si>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</si>
  <si>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</si>
  <si>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</si>
  <si>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</si>
  <si>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</si>
  <si>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</si>
  <si>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</si>
  <si>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</si>
  <si>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</si>
  <si>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</si>
  <si>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</si>
  <si>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</si>
  <si>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</si>
  <si>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</si>
  <si>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</si>
  <si>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</si>
  <si>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</si>
  <si>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</si>
  <si>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</si>
  <si>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</si>
  <si>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</si>
  <si>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</si>
  <si>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</si>
  <si>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</si>
  <si>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</si>
  <si>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</si>
  <si>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</si>
  <si>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</si>
  <si>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</si>
  <si>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</si>
  <si>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</si>
  <si>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</si>
  <si>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</si>
  <si>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</si>
  <si>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</si>
  <si>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</si>
  <si>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</si>
  <si>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</si>
  <si>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</si>
  <si>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</si>
  <si>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</si>
  <si>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</si>
  <si>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</si>
  <si>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</si>
  <si>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</si>
  <si>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</si>
  <si>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</si>
  <si>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</si>
  <si>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</si>
  <si>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</si>
  <si>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</si>
  <si>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</si>
  <si>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</si>
  <si>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</si>
  <si>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</si>
  <si>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</si>
  <si>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</si>
  <si>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</si>
  <si>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</si>
  <si>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</si>
  <si>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</si>
  <si>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</si>
  <si>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</si>
  <si>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</si>
  <si>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</si>
  <si>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</si>
  <si>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</si>
  <si>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</si>
  <si>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</si>
  <si>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</si>
  <si>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</si>
  <si>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</si>
  <si>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</si>
  <si>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</si>
  <si>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</si>
  <si>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</si>
  <si>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</si>
  <si>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</si>
  <si>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</si>
  <si>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</si>
  <si>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</si>
  <si>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</si>
  <si>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</si>
  <si>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</si>
  <si>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</si>
  <si>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</si>
  <si>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</si>
  <si>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</si>
  <si>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</si>
  <si>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</si>
  <si>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</si>
  <si>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</si>
  <si>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</si>
  <si>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</si>
  <si>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</si>
  <si>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</si>
  <si>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</si>
  <si>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</si>
  <si>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</si>
  <si>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</si>
  <si>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</si>
  <si>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</si>
  <si>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</si>
  <si>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</si>
  <si>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</si>
  <si>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</si>
  <si>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</si>
  <si>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</si>
  <si>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</si>
  <si>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</si>
  <si>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</si>
  <si>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</si>
  <si>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</si>
  <si>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</si>
  <si>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</si>
  <si>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</si>
  <si>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</si>
  <si>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</si>
  <si>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</si>
  <si>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</si>
  <si>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</si>
  <si>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</si>
  <si>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</si>
  <si>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</si>
  <si>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</si>
  <si>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</si>
  <si>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</si>
  <si>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</si>
  <si>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</si>
  <si>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</si>
  <si>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</si>
  <si>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</si>
  <si>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</si>
  <si>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</si>
  <si>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</si>
  <si>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</si>
  <si>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</si>
  <si>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</si>
  <si>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</si>
  <si>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</si>
  <si>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</si>
  <si>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</si>
  <si>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</si>
  <si>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</si>
  <si>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</si>
  <si>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</si>
  <si>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</si>
  <si>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</si>
  <si>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</si>
  <si>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</si>
  <si>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</si>
  <si>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</si>
  <si>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</si>
  <si>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</si>
  <si>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</si>
  <si>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</si>
  <si>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</si>
  <si>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</si>
  <si>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</si>
  <si>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</si>
  <si>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</si>
  <si>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</si>
  <si>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</si>
  <si>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</si>
  <si>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</si>
  <si>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</si>
  <si>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</si>
  <si>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</si>
  <si>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</si>
  <si>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</si>
  <si>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</si>
  <si>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</si>
  <si>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</si>
  <si>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</si>
  <si>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</si>
  <si>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</si>
  <si>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</si>
  <si>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</si>
  <si>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</si>
  <si>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</si>
  <si>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</si>
  <si>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</si>
  <si>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</si>
  <si>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</si>
  <si>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</si>
  <si>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</si>
  <si>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</si>
  <si>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</si>
  <si>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</si>
  <si>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</si>
  <si>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</si>
  <si>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</si>
  <si>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</si>
  <si>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</si>
  <si>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</si>
  <si>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</si>
  <si>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</si>
  <si>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</si>
  <si>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</si>
  <si>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</si>
  <si>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</si>
  <si>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</si>
  <si>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</si>
  <si>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</si>
  <si>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</si>
  <si>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</si>
  <si>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</si>
  <si>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</si>
  <si>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</si>
  <si>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</si>
  <si>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</si>
  <si>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</si>
  <si>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</si>
  <si>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</si>
  <si>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</si>
  <si>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</si>
  <si>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</si>
  <si>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</si>
  <si>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</si>
  <si>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</si>
  <si>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</si>
  <si>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</si>
  <si>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</si>
  <si>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</si>
  <si>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</si>
  <si>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</si>
  <si>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</si>
  <si>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</si>
  <si>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</si>
  <si>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</si>
  <si>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</si>
  <si>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</si>
  <si>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</si>
  <si>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</si>
  <si>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</si>
  <si>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</si>
  <si>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</si>
  <si>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</si>
  <si>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</si>
  <si>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</si>
  <si>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</si>
  <si>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</si>
  <si>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</si>
  <si>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</si>
  <si>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</si>
  <si>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</si>
  <si>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</si>
  <si>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</si>
  <si>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</si>
  <si>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</si>
  <si>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</si>
  <si>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</si>
  <si>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</si>
  <si>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</si>
  <si>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</si>
  <si>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</si>
  <si>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</si>
  <si>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</si>
  <si>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</si>
  <si>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</si>
  <si>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</si>
  <si>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</si>
  <si>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</si>
  <si>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</si>
  <si>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</si>
  <si>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</si>
  <si>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</si>
  <si>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</si>
  <si>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</si>
  <si>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</si>
  <si>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</si>
  <si>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</si>
  <si>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</si>
  <si>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</si>
  <si>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</si>
  <si>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</si>
  <si>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</si>
  <si>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</si>
  <si>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</si>
  <si>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</si>
  <si>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</si>
  <si>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</si>
  <si>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</si>
  <si>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</si>
  <si>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</si>
  <si>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</si>
  <si>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</si>
  <si>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</si>
  <si>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</si>
  <si>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</si>
  <si>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</si>
  <si>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</si>
  <si>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</si>
  <si>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</si>
  <si>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</si>
  <si>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</si>
  <si>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</si>
  <si>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</si>
  <si>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</si>
  <si>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</si>
  <si>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</si>
  <si>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</si>
  <si>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</si>
  <si>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</si>
  <si>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</si>
  <si>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</si>
  <si>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</si>
  <si>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</si>
  <si>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</si>
  <si>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</si>
  <si>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</si>
  <si>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</si>
  <si>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</si>
  <si>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</si>
  <si>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</si>
  <si>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</si>
  <si>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</si>
  <si>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</si>
  <si>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</si>
  <si>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</si>
  <si>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</si>
  <si>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</si>
  <si>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</si>
  <si>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</si>
  <si>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</si>
  <si>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</si>
  <si>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</si>
  <si>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</si>
  <si>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</si>
  <si>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</si>
  <si>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</si>
  <si>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</si>
  <si>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</si>
  <si>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</si>
  <si>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</si>
  <si>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</si>
  <si>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</si>
  <si>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</si>
  <si>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</si>
  <si>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</si>
  <si>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</si>
  <si>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</si>
  <si>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</si>
  <si>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</si>
  <si>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</si>
  <si>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</si>
  <si>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</si>
  <si>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</si>
  <si>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</si>
  <si>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</si>
  <si>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</si>
  <si>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</si>
  <si>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</si>
  <si>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</si>
  <si>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</si>
  <si>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</si>
  <si>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</si>
  <si>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</si>
  <si>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</si>
  <si>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</si>
  <si>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</si>
  <si>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</si>
  <si>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</si>
  <si>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</si>
  <si>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</si>
  <si>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</si>
  <si>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</si>
  <si>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</si>
  <si>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</si>
  <si>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</si>
  <si>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</si>
  <si>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</si>
  <si>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</si>
  <si>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</si>
  <si>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</si>
  <si>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</si>
  <si>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</si>
  <si>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</si>
  <si>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</si>
  <si>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</si>
  <si>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</si>
  <si>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</si>
  <si>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</si>
  <si>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</si>
  <si>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</si>
  <si>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</si>
  <si>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</si>
  <si>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</si>
  <si>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</si>
  <si>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</si>
  <si>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</si>
  <si>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</si>
  <si>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</si>
  <si>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</si>
  <si>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</si>
  <si>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</si>
  <si>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</si>
  <si>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</si>
  <si>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</si>
  <si>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</si>
  <si>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</si>
  <si>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</si>
  <si>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</si>
  <si>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</si>
  <si>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</si>
  <si>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</si>
  <si>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</si>
  <si>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</si>
  <si>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</si>
  <si>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</si>
  <si>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</si>
  <si>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</si>
  <si>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</si>
  <si>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</si>
  <si>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</si>
  <si>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</si>
  <si>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</si>
  <si>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</si>
  <si>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</si>
  <si>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</si>
  <si>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</si>
  <si>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</si>
  <si>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</si>
  <si>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</si>
  <si>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</si>
  <si>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</si>
  <si>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</si>
  <si>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</si>
  <si>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</si>
  <si>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</si>
  <si>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</si>
  <si>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</si>
  <si>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</si>
  <si>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</si>
  <si>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</si>
  <si>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</si>
  <si>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</si>
  <si>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</si>
  <si>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</si>
  <si>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</si>
  <si>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</si>
  <si>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</si>
  <si>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</si>
  <si>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</si>
  <si>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</si>
  <si>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</si>
  <si>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</si>
  <si>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</si>
  <si>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</si>
  <si>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</si>
  <si>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</si>
  <si>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</si>
  <si>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</si>
  <si>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</si>
  <si>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</si>
  <si>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</si>
  <si>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</si>
  <si>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</si>
  <si>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</si>
  <si>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</si>
  <si>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</si>
  <si>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</si>
  <si>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</si>
  <si>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</si>
  <si>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</si>
  <si>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</si>
  <si>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</si>
  <si>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</si>
  <si>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</si>
  <si>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</si>
  <si>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</si>
  <si>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</si>
  <si>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</si>
  <si>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</si>
  <si>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</si>
  <si>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</si>
  <si>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</si>
  <si>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</si>
  <si>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</si>
  <si>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</si>
  <si>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</si>
  <si>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</si>
  <si>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</si>
  <si>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</si>
  <si>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</si>
  <si>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</si>
  <si>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</si>
  <si>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</si>
  <si>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</si>
  <si>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</si>
  <si>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</si>
  <si>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</si>
  <si>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</si>
  <si>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</si>
  <si>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</si>
  <si>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</si>
  <si>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</si>
  <si>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</si>
  <si>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</si>
  <si>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</si>
  <si>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</si>
  <si>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</si>
  <si>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</si>
  <si>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</si>
  <si>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</si>
  <si>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</si>
  <si>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</si>
  <si>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</si>
  <si>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</si>
  <si>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</si>
  <si>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</si>
  <si>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</si>
  <si>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</si>
  <si>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</si>
  <si>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</si>
  <si>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</si>
  <si>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</si>
  <si>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</si>
  <si>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</si>
  <si>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</si>
  <si>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</si>
  <si>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</si>
  <si>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</si>
  <si>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</si>
  <si>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</si>
  <si>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</si>
  <si>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</si>
  <si>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</si>
  <si>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</si>
  <si>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</si>
  <si>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</si>
  <si>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</si>
  <si>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</si>
  <si>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</si>
  <si>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</si>
  <si>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</si>
  <si>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</si>
  <si>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</si>
  <si>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</si>
  <si>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</si>
  <si>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</si>
  <si>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</si>
  <si>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</si>
  <si>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</si>
  <si>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</si>
  <si>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</si>
  <si>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</si>
  <si>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</si>
  <si>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</si>
  <si>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</si>
  <si>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</si>
  <si>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</si>
  <si>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</si>
  <si>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</si>
  <si>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</si>
  <si>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</si>
  <si>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</si>
  <si>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</si>
  <si>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</si>
  <si>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</si>
  <si>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</si>
  <si>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</si>
  <si>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</si>
  <si>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</si>
  <si>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</si>
  <si>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</si>
  <si>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</si>
  <si>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</si>
  <si>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</si>
  <si>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</si>
  <si>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</si>
  <si>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</si>
  <si>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</si>
  <si>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</si>
  <si>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</si>
  <si>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</si>
  <si>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</si>
  <si>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</si>
  <si>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</si>
  <si>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</si>
  <si>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</si>
  <si>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</si>
  <si>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</si>
  <si>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</si>
  <si>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</si>
  <si>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</si>
  <si>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</si>
  <si>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</si>
  <si>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</si>
  <si>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</si>
  <si>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</si>
  <si>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</si>
  <si>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</si>
  <si>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</si>
  <si>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</si>
  <si>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</si>
  <si>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</si>
  <si>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</si>
  <si>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</si>
  <si>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</si>
  <si>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</si>
  <si>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</si>
  <si>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</si>
  <si>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</si>
  <si>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</si>
  <si>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</si>
  <si>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</si>
  <si>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</si>
  <si>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</si>
  <si>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</si>
  <si>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</si>
  <si>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</si>
  <si>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</si>
  <si>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</si>
  <si>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</si>
  <si>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</si>
  <si>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</si>
  <si>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</si>
  <si>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</si>
  <si>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</si>
  <si>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</si>
  <si>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</si>
  <si>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</si>
  <si>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</si>
  <si>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</si>
  <si>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</si>
  <si>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</si>
  <si>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</si>
  <si>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</si>
  <si>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</si>
  <si>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</si>
  <si>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</si>
  <si>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</si>
  <si>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</si>
  <si>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</si>
  <si>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</si>
  <si>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</si>
  <si>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</si>
  <si>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</si>
  <si>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</si>
  <si>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</si>
  <si>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</si>
  <si>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</si>
  <si>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</si>
  <si>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</si>
  <si>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</si>
  <si>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</si>
  <si>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</si>
  <si>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</si>
  <si>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</si>
  <si>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</si>
  <si>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</si>
  <si>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</si>
  <si>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</si>
  <si>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</si>
  <si>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</si>
  <si>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</si>
  <si>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</si>
  <si>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</si>
  <si>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</si>
  <si>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</si>
  <si>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</si>
  <si>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</si>
  <si>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</si>
  <si>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</si>
  <si>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</si>
  <si>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</si>
  <si>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</si>
  <si>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</si>
  <si>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</si>
  <si>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</si>
  <si>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</si>
  <si>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</si>
  <si>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</si>
  <si>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</si>
  <si>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</si>
  <si>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</si>
  <si>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</si>
  <si>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</si>
  <si>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</si>
  <si>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</si>
  <si>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</si>
  <si>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</si>
  <si>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</si>
  <si>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</si>
  <si>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</si>
  <si>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</si>
  <si>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</si>
  <si>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</si>
  <si>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</si>
  <si>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</si>
  <si>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</si>
  <si>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</si>
  <si>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</si>
  <si>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</si>
  <si>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</si>
  <si>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</si>
  <si>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</si>
  <si>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</si>
  <si>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</si>
  <si>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</si>
  <si>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</si>
  <si>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</si>
  <si>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</si>
  <si>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</si>
  <si>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</si>
  <si>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</si>
  <si>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</si>
  <si>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</si>
  <si>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</si>
  <si>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</si>
  <si>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</si>
  <si>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</si>
  <si>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</si>
  <si>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</si>
  <si>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</si>
  <si>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</si>
  <si>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</si>
  <si>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</si>
  <si>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</si>
  <si>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</si>
  <si>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</si>
  <si>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</si>
  <si>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</si>
  <si>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</si>
  <si>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</si>
  <si>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</si>
  <si>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</si>
  <si>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</si>
  <si>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</si>
  <si>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</si>
  <si>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</si>
  <si>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</si>
  <si>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</si>
  <si>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</si>
  <si>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</si>
  <si>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</si>
  <si>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</si>
  <si>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</si>
  <si>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</si>
  <si>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</si>
  <si>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</si>
  <si>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</si>
  <si>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</si>
  <si>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</si>
  <si>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</si>
  <si>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</si>
  <si>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</si>
  <si>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</si>
  <si>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</si>
  <si>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</si>
  <si>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</si>
  <si>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</si>
  <si>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</si>
  <si>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</si>
  <si>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</si>
  <si>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</si>
  <si>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</si>
  <si>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</si>
  <si>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</si>
  <si>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</si>
  <si>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</si>
  <si>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</si>
  <si>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</si>
  <si>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</si>
  <si>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</si>
  <si>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</si>
  <si>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</si>
  <si>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</si>
  <si>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</si>
  <si>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</si>
  <si>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</si>
  <si>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</si>
  <si>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</si>
  <si>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</si>
  <si>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</si>
  <si>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</si>
  <si>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</si>
  <si>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</si>
  <si>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</si>
  <si>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</si>
  <si>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</si>
  <si>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</si>
  <si>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</si>
  <si>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</si>
  <si>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</si>
  <si>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</si>
  <si>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</si>
  <si>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</si>
  <si>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</si>
  <si>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</si>
  <si>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</si>
  <si>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</si>
  <si>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</si>
  <si>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</si>
  <si>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</si>
  <si>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</si>
  <si>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</si>
  <si>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</si>
  <si>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</si>
  <si>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</si>
  <si>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</si>
  <si>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</si>
  <si>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</si>
  <si>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</si>
  <si>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</si>
  <si>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</si>
  <si>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</si>
  <si>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</si>
  <si>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</si>
  <si>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</si>
  <si>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</si>
  <si>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</si>
  <si>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</si>
  <si>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</si>
  <si>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</si>
  <si>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</si>
  <si>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</si>
  <si>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</si>
  <si>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</si>
  <si>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</si>
  <si>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</si>
  <si>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</si>
  <si>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</si>
  <si>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</si>
  <si>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</si>
  <si>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</si>
  <si>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</si>
  <si>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</si>
  <si>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</si>
  <si>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</si>
  <si>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</si>
  <si>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</si>
  <si>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</si>
  <si>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</si>
  <si>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</si>
  <si>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</si>
  <si>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</si>
  <si>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</si>
  <si>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</si>
  <si>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</si>
  <si>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</si>
  <si>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</si>
  <si>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</si>
  <si>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</si>
  <si>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</si>
  <si>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</si>
  <si>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</si>
  <si>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</si>
  <si>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</si>
  <si>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</si>
  <si>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</si>
  <si>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</si>
  <si>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</si>
  <si>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</si>
  <si>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</si>
  <si>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</si>
  <si>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</si>
  <si>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</si>
  <si>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</si>
  <si>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</si>
  <si>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</si>
  <si>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</si>
  <si>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</si>
  <si>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</si>
  <si>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</si>
  <si>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</si>
  <si>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</si>
  <si>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</si>
  <si>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</si>
  <si>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</si>
  <si>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</si>
  <si>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</si>
  <si>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</si>
  <si>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</si>
  <si>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</si>
  <si>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</si>
  <si>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</si>
  <si>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</si>
  <si>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</si>
  <si>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</si>
  <si>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</si>
  <si>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</si>
  <si>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</si>
  <si>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</si>
  <si>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</si>
  <si>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</si>
  <si>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</si>
  <si>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</si>
  <si>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</si>
  <si>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</si>
  <si>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</si>
  <si>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</si>
  <si>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</si>
  <si>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</si>
  <si>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</si>
  <si>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</si>
  <si>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</si>
  <si>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</si>
  <si>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</si>
  <si>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</si>
  <si>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</si>
  <si>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</si>
  <si>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</si>
  <si>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</si>
  <si>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</si>
  <si>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</si>
  <si>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</si>
  <si>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</si>
  <si>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</si>
  <si>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</si>
  <si>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</si>
  <si>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</si>
  <si>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</si>
  <si>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</si>
  <si>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</si>
  <si>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</si>
  <si>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</si>
  <si>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</si>
  <si>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</si>
  <si>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</si>
  <si>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</si>
  <si>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</si>
  <si>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</si>
  <si>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</si>
  <si>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</si>
  <si>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</si>
  <si>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</si>
  <si>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</si>
  <si>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</si>
  <si>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</si>
  <si>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</si>
  <si>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</si>
  <si>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</si>
  <si>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</si>
  <si>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</si>
  <si>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</si>
  <si>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</si>
  <si>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</si>
  <si>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</si>
  <si>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</si>
  <si>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</si>
  <si>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</si>
  <si>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</si>
  <si>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</si>
  <si>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</si>
  <si>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</si>
  <si>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</si>
  <si>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</si>
  <si>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</si>
  <si>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</si>
  <si>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</si>
  <si>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</si>
  <si>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</si>
  <si>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</si>
  <si>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</si>
  <si>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</si>
  <si>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</si>
  <si>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</si>
  <si>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</si>
  <si>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</si>
  <si>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</si>
  <si>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</si>
  <si>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</si>
  <si>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</si>
  <si>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</si>
  <si>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</si>
  <si>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</si>
  <si>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</si>
  <si>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</si>
  <si>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</si>
  <si>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</si>
  <si>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</si>
  <si>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</si>
  <si>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</si>
  <si>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</si>
  <si>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</si>
  <si>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</si>
  <si>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</si>
  <si>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</si>
  <si>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</si>
  <si>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</si>
  <si>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</si>
  <si>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</si>
  <si>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</si>
  <si>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</si>
  <si>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</si>
  <si>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</si>
  <si>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</si>
  <si>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</si>
  <si>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</si>
  <si>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</si>
  <si>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</si>
  <si>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</si>
  <si>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</si>
  <si>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</si>
  <si>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</si>
  <si>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</si>
  <si>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</si>
  <si>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</si>
  <si>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</si>
  <si>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</si>
  <si>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</si>
  <si>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</si>
  <si>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</si>
  <si>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</si>
  <si>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</si>
  <si>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</si>
  <si>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</si>
  <si>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</si>
  <si>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</si>
  <si>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</si>
  <si>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</si>
  <si>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</si>
  <si>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</si>
  <si>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</si>
  <si>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</si>
  <si>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</si>
  <si>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</si>
  <si>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</si>
  <si>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</si>
  <si>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</si>
  <si>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</si>
  <si>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</si>
  <si>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</si>
  <si>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</si>
  <si>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</si>
  <si>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</si>
  <si>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</si>
  <si>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</si>
  <si>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</si>
  <si>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</si>
  <si>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</si>
  <si>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</si>
  <si>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</si>
  <si>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</si>
  <si>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</si>
  <si>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</si>
  <si>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</si>
  <si>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</si>
  <si>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</si>
  <si>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</si>
  <si>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</si>
  <si>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</si>
  <si>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</si>
  <si>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</si>
  <si>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</si>
  <si>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</si>
  <si>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</si>
  <si>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</si>
  <si>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</si>
  <si>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</si>
  <si>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</si>
  <si>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</si>
  <si>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</si>
  <si>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</si>
  <si>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</si>
  <si>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</si>
  <si>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</si>
  <si>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</si>
  <si>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</si>
  <si>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</si>
  <si>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</si>
  <si>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</si>
  <si>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</si>
  <si>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</si>
  <si>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</si>
  <si>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</si>
  <si>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</si>
  <si>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</si>
  <si>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</si>
  <si>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</si>
  <si>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</si>
  <si>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</si>
  <si>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</si>
  <si>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</si>
  <si>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</si>
  <si>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</si>
  <si>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</si>
  <si>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</si>
  <si>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</si>
  <si>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</si>
  <si>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</si>
  <si>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</si>
  <si>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</si>
  <si>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</si>
  <si>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</si>
  <si>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</si>
  <si>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</si>
  <si>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</si>
  <si>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</si>
  <si>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</si>
  <si>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</si>
  <si>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</si>
  <si>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</si>
  <si>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</si>
  <si>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</si>
  <si>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</si>
  <si>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</si>
  <si>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</si>
  <si>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</si>
  <si>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</si>
  <si>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</si>
  <si>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</si>
  <si>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</si>
  <si>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</si>
  <si>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</si>
  <si>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</si>
  <si>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</si>
  <si>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</si>
  <si>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</si>
  <si>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</si>
  <si>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</si>
  <si>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</si>
  <si>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</si>
  <si>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</si>
  <si>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</si>
  <si>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</si>
  <si>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</si>
  <si>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</si>
  <si>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</si>
  <si>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</si>
  <si>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</si>
  <si>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</si>
  <si>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</si>
  <si>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</si>
  <si>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</si>
  <si>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</si>
  <si>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</si>
  <si>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</si>
  <si>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</si>
  <si>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</si>
  <si>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</si>
  <si>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</si>
  <si>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</si>
  <si>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</si>
  <si>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</si>
  <si>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</si>
  <si>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</si>
  <si>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</si>
  <si>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</si>
  <si>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</si>
  <si>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</si>
  <si>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</si>
  <si>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</si>
  <si>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</si>
  <si>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</si>
  <si>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</si>
  <si>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</si>
  <si>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</si>
  <si>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</si>
  <si>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</si>
  <si>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</si>
  <si>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</si>
  <si>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</si>
  <si>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</si>
  <si>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</si>
  <si>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</si>
  <si>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</si>
  <si>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</si>
  <si>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</si>
  <si>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</si>
  <si>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</si>
  <si>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</si>
  <si>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</si>
  <si>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</si>
  <si>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</si>
  <si>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</si>
  <si>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</si>
  <si>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</si>
  <si>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</si>
  <si>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</si>
  <si>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</si>
  <si>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</si>
  <si>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</si>
  <si>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</si>
  <si>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</si>
  <si>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</si>
  <si>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</si>
  <si>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</si>
  <si>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</si>
  <si>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</si>
  <si>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</si>
  <si>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</si>
  <si>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</si>
  <si>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</si>
  <si>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</si>
  <si>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</si>
  <si>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</si>
  <si>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</si>
  <si>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</si>
  <si>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</si>
  <si>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</si>
  <si>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</si>
  <si>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</si>
  <si>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</si>
  <si>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</si>
  <si>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</si>
  <si>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</si>
  <si>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</si>
  <si>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</si>
  <si>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</si>
  <si>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</si>
  <si>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</si>
  <si>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</si>
  <si>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</si>
  <si>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</si>
  <si>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</si>
  <si>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</si>
  <si>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</si>
  <si>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</si>
  <si>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</si>
  <si>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</si>
  <si>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</si>
  <si>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</si>
  <si>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</si>
  <si>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</si>
  <si>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</si>
  <si>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</si>
  <si>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</si>
  <si>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</si>
  <si>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</si>
  <si>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</si>
  <si>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</si>
  <si>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</si>
  <si>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</si>
  <si>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</si>
  <si>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</si>
  <si>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</si>
  <si>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</si>
  <si>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</si>
  <si>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</si>
  <si>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</si>
  <si>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</si>
  <si>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</si>
  <si>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</si>
  <si>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</si>
  <si>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</si>
  <si>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</si>
  <si>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</si>
  <si>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</si>
  <si>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</si>
  <si>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</si>
  <si>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</si>
  <si>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</si>
  <si>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</si>
  <si>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</si>
  <si>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</si>
  <si>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</si>
  <si>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</si>
  <si>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</si>
  <si>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</si>
  <si>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</si>
  <si>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</si>
  <si>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</si>
  <si>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</si>
  <si>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</si>
  <si>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</si>
  <si>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</si>
  <si>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</si>
  <si>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</si>
  <si>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</si>
  <si>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</si>
  <si>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</si>
  <si>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</si>
  <si>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</si>
  <si>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</si>
  <si>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</si>
  <si>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</si>
  <si>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</si>
  <si>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</si>
  <si>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</si>
  <si>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</si>
  <si>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</si>
  <si>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</si>
  <si>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</si>
  <si>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</si>
  <si>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</si>
  <si>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</si>
  <si>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</si>
  <si>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</si>
  <si>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</si>
  <si>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</si>
  <si>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</si>
  <si>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</si>
  <si>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</si>
  <si>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</si>
  <si>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</si>
  <si>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</si>
  <si>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</si>
  <si>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</si>
  <si>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</si>
  <si>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</si>
  <si>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</si>
  <si>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</si>
  <si>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</si>
  <si>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</si>
  <si>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</si>
  <si>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</si>
  <si>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</si>
  <si>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</si>
  <si>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</si>
  <si>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</si>
  <si>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</si>
  <si>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</si>
  <si>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</si>
  <si>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</si>
  <si>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</si>
  <si>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</si>
  <si>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</si>
  <si>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</si>
  <si>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</si>
  <si>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</si>
  <si>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</si>
  <si>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</si>
  <si>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</si>
  <si>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</si>
  <si>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</si>
  <si>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</si>
  <si>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</si>
  <si>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</si>
  <si>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</si>
  <si>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</si>
  <si>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</si>
  <si>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</si>
  <si>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</si>
  <si>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</si>
  <si>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</si>
  <si>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</si>
  <si>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</si>
  <si>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</si>
  <si>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</si>
  <si>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</si>
  <si>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</si>
  <si>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</si>
  <si>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</si>
  <si>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</si>
  <si>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</si>
  <si>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</si>
  <si>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</si>
  <si>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</si>
  <si>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</si>
  <si>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</si>
  <si>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</si>
  <si>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</si>
  <si>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</si>
  <si>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</si>
  <si>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</si>
  <si>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</si>
  <si>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</si>
  <si>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</si>
  <si>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</si>
  <si>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</si>
  <si>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</si>
  <si>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</si>
  <si>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</si>
  <si>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</si>
  <si>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</si>
  <si>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</si>
  <si>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</si>
  <si>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</si>
  <si>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</si>
  <si>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</si>
  <si>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</si>
  <si>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</si>
  <si>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</si>
  <si>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</si>
  <si>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</si>
  <si>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</si>
  <si>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</si>
  <si>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</si>
  <si>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</si>
  <si>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</si>
  <si>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</si>
  <si>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</si>
  <si>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</si>
  <si>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</si>
  <si>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</si>
  <si>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</si>
  <si>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</si>
  <si>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</si>
  <si>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</si>
  <si>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</si>
  <si>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</si>
  <si>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</si>
  <si>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</si>
  <si>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</si>
  <si>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</si>
  <si>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</si>
  <si>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</si>
  <si>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</si>
  <si>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</si>
  <si>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</si>
  <si>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</si>
  <si>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</si>
  <si>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</si>
  <si>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</si>
  <si>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</si>
  <si>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</si>
  <si>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</si>
  <si>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</si>
  <si>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</si>
  <si>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</si>
  <si>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</si>
  <si>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</si>
  <si>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</si>
  <si>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</si>
  <si>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</si>
  <si>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</si>
  <si>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</si>
  <si>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</si>
  <si>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</si>
  <si>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</si>
  <si>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</si>
  <si>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</si>
  <si>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</si>
  <si>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</si>
  <si>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</si>
  <si>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</si>
  <si>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</si>
  <si>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</si>
  <si>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</si>
  <si>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</si>
  <si>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</si>
  <si>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</si>
  <si>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</si>
  <si>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</si>
  <si>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</si>
  <si>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</si>
  <si>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</si>
  <si>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</si>
  <si>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</si>
  <si>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</si>
  <si>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</si>
  <si>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</si>
  <si>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</si>
  <si>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</si>
  <si>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</si>
  <si>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</si>
  <si>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</si>
  <si>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</si>
  <si>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</si>
  <si>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</si>
  <si>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</si>
  <si>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</si>
  <si>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</si>
  <si>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</si>
  <si>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</si>
  <si>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</si>
  <si>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</si>
  <si>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</si>
  <si>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</si>
  <si>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</si>
  <si>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</si>
  <si>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</si>
  <si>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</si>
  <si>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</si>
  <si>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</si>
  <si>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</si>
  <si>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</si>
  <si>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</si>
  <si>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</si>
  <si>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</si>
  <si>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</si>
  <si>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</si>
  <si>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</si>
  <si>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</si>
  <si>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</si>
  <si>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</si>
  <si>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</si>
  <si>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</si>
  <si>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</si>
  <si>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</si>
  <si>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</si>
  <si>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</si>
  <si>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</si>
  <si>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</si>
  <si>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</si>
  <si>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</si>
  <si>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</si>
  <si>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</si>
  <si>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</si>
  <si>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</si>
  <si>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</si>
  <si>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</si>
  <si>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</si>
  <si>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</si>
  <si>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</si>
  <si>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</si>
  <si>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</si>
  <si>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</si>
  <si>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</si>
  <si>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</si>
  <si>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</si>
  <si>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</si>
  <si>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</si>
  <si>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</si>
  <si>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</si>
  <si>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</si>
  <si>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</si>
  <si>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</si>
  <si>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</si>
  <si>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</si>
  <si>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</si>
  <si>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</si>
  <si>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</si>
  <si>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</si>
  <si>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</si>
  <si>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</si>
  <si>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</si>
  <si>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</si>
  <si>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</si>
  <si>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</si>
  <si>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</si>
  <si>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</si>
  <si>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</si>
  <si>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</si>
  <si>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</si>
  <si>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</si>
  <si>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</si>
  <si>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</si>
  <si>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</si>
  <si>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</si>
  <si>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</si>
  <si>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</si>
  <si>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</si>
  <si>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</si>
  <si>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</si>
  <si>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</si>
  <si>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</si>
  <si>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</si>
  <si>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</si>
  <si>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</si>
  <si>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</si>
  <si>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</si>
  <si>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</si>
  <si>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</si>
  <si>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</si>
  <si>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</si>
  <si>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</si>
  <si>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</si>
  <si>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</si>
  <si>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</si>
  <si>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</si>
  <si>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</si>
  <si>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</si>
  <si>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</si>
  <si>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</si>
  <si>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</si>
  <si>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</si>
  <si>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</si>
  <si>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</si>
  <si>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</si>
  <si>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</si>
  <si>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</si>
  <si>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</si>
  <si>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</si>
  <si>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</si>
  <si>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</si>
  <si>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</si>
  <si>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</si>
  <si>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</si>
  <si>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</si>
  <si>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</si>
  <si>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</si>
  <si>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</si>
  <si>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</si>
  <si>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</si>
  <si>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</si>
  <si>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</si>
  <si>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</si>
  <si>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</si>
  <si>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</si>
  <si>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</si>
  <si>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</si>
  <si>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</si>
  <si>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</si>
  <si>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</si>
  <si>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</si>
  <si>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</si>
  <si>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</si>
  <si>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</si>
  <si>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</si>
  <si>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</si>
  <si>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</si>
  <si>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</si>
  <si>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</si>
  <si>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</si>
  <si>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</si>
  <si>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</si>
  <si>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</si>
  <si>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</si>
  <si>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</si>
  <si>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</si>
  <si>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</si>
  <si>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</si>
  <si>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</si>
  <si>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</si>
  <si>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</si>
  <si>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</si>
  <si>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</si>
  <si>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</si>
  <si>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</si>
  <si>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</si>
  <si>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</si>
  <si>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</si>
  <si>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</si>
  <si>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</si>
  <si>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</si>
  <si>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</si>
  <si>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</si>
  <si>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</si>
  <si>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</si>
  <si>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</si>
  <si>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</si>
  <si>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</si>
  <si>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</si>
  <si>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</si>
  <si>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</si>
  <si>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</si>
  <si>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</si>
  <si>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</si>
  <si>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</si>
  <si>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</si>
  <si>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</si>
  <si>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</si>
  <si>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</si>
  <si>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</si>
  <si>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</si>
  <si>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</si>
  <si>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</si>
  <si>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</si>
  <si>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</si>
  <si>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</si>
  <si>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</si>
  <si>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</si>
  <si>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</si>
  <si>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</si>
  <si>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</si>
  <si>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</si>
  <si>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</si>
  <si>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</si>
  <si>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</si>
  <si>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</si>
  <si>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</si>
  <si>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</si>
  <si>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</si>
  <si>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</si>
  <si>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</si>
  <si>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</si>
  <si>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</si>
  <si>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</si>
  <si>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</si>
  <si>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</si>
  <si>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</si>
  <si>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</si>
  <si>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</si>
  <si>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</si>
  <si>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</si>
  <si>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</si>
  <si>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</si>
  <si>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</si>
  <si>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</si>
  <si>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</si>
  <si>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</si>
  <si>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</si>
  <si>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</si>
  <si>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</si>
  <si>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</si>
  <si>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</si>
  <si>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</si>
  <si>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</si>
  <si>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</si>
  <si>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</si>
  <si>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</si>
  <si>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</si>
  <si>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</si>
  <si>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</si>
  <si>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</si>
  <si>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</si>
  <si>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</si>
  <si>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</si>
  <si>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</si>
  <si>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</si>
  <si>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</si>
  <si>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</si>
  <si>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</si>
  <si>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</si>
  <si>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</si>
  <si>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</si>
  <si>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</si>
  <si>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</si>
  <si>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</si>
  <si>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</si>
  <si>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</si>
  <si>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</si>
  <si>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</si>
  <si>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</si>
  <si>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</si>
  <si>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</si>
  <si>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</si>
  <si>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</si>
  <si>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</si>
  <si>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</si>
  <si>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</si>
  <si>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</si>
  <si>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</si>
  <si>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</si>
  <si>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</si>
  <si>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</si>
  <si>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</si>
  <si>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</si>
  <si>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</si>
  <si>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</si>
  <si>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</si>
  <si>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</si>
  <si>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</si>
  <si>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</si>
  <si>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</si>
  <si>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</si>
  <si>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</si>
  <si>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</si>
  <si>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</si>
  <si>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</si>
  <si>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</si>
  <si>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</si>
  <si>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</si>
  <si>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</si>
  <si>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</si>
  <si>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</si>
  <si>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</si>
  <si>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</si>
  <si>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</si>
  <si>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</si>
  <si>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</si>
  <si>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</si>
  <si>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</si>
  <si>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</si>
  <si>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</si>
  <si>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</si>
  <si>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</si>
  <si>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</si>
  <si>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</si>
  <si>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</si>
  <si>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</si>
  <si>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</si>
  <si>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</si>
  <si>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</si>
  <si>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</si>
  <si>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</si>
  <si>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</si>
  <si>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</si>
  <si>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</si>
  <si>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</si>
  <si>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</si>
  <si>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</si>
  <si>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</si>
  <si>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</si>
  <si>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</si>
  <si>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</si>
  <si>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</si>
  <si>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</si>
  <si>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</si>
  <si>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</si>
  <si>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</si>
  <si>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</si>
  <si>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</si>
  <si>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</si>
  <si>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</si>
  <si>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</si>
  <si>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</si>
  <si>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</si>
  <si>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</si>
  <si>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</si>
  <si>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</si>
  <si>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</si>
  <si>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</si>
  <si>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</si>
  <si>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</si>
  <si>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</si>
  <si>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</si>
  <si>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</si>
  <si>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</si>
  <si>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</si>
  <si>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</si>
  <si>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</si>
  <si>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</si>
  <si>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</si>
  <si>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</si>
  <si>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</si>
  <si>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</si>
  <si>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</si>
  <si>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</si>
  <si>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</si>
  <si>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</si>
  <si>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</si>
  <si>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</si>
  <si>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</si>
  <si>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</si>
  <si>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</si>
  <si>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</si>
  <si>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</si>
  <si>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</si>
  <si>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</si>
  <si>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</si>
  <si>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</si>
  <si>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</si>
  <si>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</si>
  <si>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</si>
  <si>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</si>
  <si>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</si>
  <si>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</si>
  <si>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</si>
  <si>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</si>
  <si>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</si>
  <si>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</si>
  <si>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</si>
  <si>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</si>
  <si>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</si>
  <si>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</si>
  <si>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</si>
  <si>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</si>
  <si>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</si>
  <si>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</si>
  <si>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</si>
  <si>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</si>
  <si>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</si>
  <si>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</si>
  <si>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</si>
  <si>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</si>
  <si>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</si>
  <si>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</si>
  <si>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</si>
  <si>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</si>
  <si>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</si>
  <si>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</si>
  <si>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</si>
  <si>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</si>
  <si>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</si>
  <si>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</si>
  <si>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</si>
  <si>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</si>
  <si>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</si>
  <si>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</si>
  <si>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</si>
  <si>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</si>
  <si>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</si>
  <si>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</si>
  <si>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</si>
  <si>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</si>
  <si>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</si>
  <si>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</si>
  <si>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</si>
  <si>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</si>
  <si>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</si>
  <si>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</si>
  <si>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</si>
  <si>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</si>
  <si>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</si>
  <si>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</si>
  <si>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</si>
  <si>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</si>
  <si>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</si>
  <si>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</si>
  <si>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</si>
  <si>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</si>
  <si>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</si>
  <si>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</si>
  <si>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</si>
  <si>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</si>
  <si>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</si>
  <si>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</si>
  <si>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</si>
  <si>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</si>
  <si>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</si>
  <si>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</si>
  <si>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</si>
  <si>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</si>
  <si>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</si>
  <si>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</si>
  <si>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</si>
  <si>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</si>
  <si>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</si>
  <si>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</si>
  <si>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</si>
  <si>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</si>
  <si>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</si>
  <si>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</si>
  <si>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</si>
  <si>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</si>
  <si>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</si>
  <si>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</si>
  <si>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</si>
  <si>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</si>
  <si>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</si>
  <si>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</si>
  <si>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</si>
  <si>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</si>
  <si>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</si>
  <si>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</si>
  <si>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</si>
  <si>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</si>
  <si>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</si>
  <si>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</si>
  <si>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</si>
  <si>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</si>
  <si>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</si>
  <si>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</si>
  <si>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</si>
  <si>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</si>
  <si>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</si>
  <si>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</si>
  <si>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</si>
  <si>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</si>
  <si>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</si>
  <si>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</si>
  <si>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</si>
  <si>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</si>
  <si>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</si>
  <si>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</si>
  <si>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</si>
  <si>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</si>
  <si>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</si>
  <si>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</si>
  <si>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</si>
  <si>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</si>
  <si>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</si>
  <si>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</si>
  <si>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</si>
  <si>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</si>
  <si>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</si>
  <si>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</si>
  <si>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</si>
  <si>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</si>
  <si>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</si>
  <si>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</si>
  <si>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</si>
  <si>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</si>
  <si>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</si>
  <si>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</si>
  <si>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</si>
  <si>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</si>
  <si>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</si>
  <si>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</si>
  <si>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</si>
  <si>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</si>
  <si>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</si>
  <si>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</si>
  <si>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</si>
  <si>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</si>
  <si>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</si>
  <si>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</si>
  <si>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</si>
  <si>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</si>
  <si>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</si>
  <si>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</si>
  <si>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</si>
  <si>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</si>
  <si>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</si>
  <si>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</si>
  <si>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</si>
  <si>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</si>
  <si>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</si>
  <si>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</si>
  <si>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</si>
  <si>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</si>
  <si>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</si>
  <si>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</si>
  <si>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</si>
  <si>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</si>
  <si>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</si>
  <si>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</si>
  <si>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</si>
  <si>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</si>
  <si>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</si>
  <si>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</si>
  <si>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</si>
  <si>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</si>
  <si>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</si>
  <si>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</si>
  <si>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</si>
  <si>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</si>
  <si>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</si>
  <si>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</si>
  <si>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</si>
  <si>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</si>
  <si>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</si>
  <si>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</si>
  <si>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</si>
  <si>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</si>
  <si>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</si>
  <si>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</si>
  <si>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</si>
  <si>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</si>
  <si>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</si>
  <si>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</si>
  <si>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</si>
  <si>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</si>
  <si>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</si>
  <si>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</si>
  <si>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</si>
  <si>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</si>
  <si>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</si>
  <si>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</si>
  <si>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</si>
  <si>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</si>
  <si>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</si>
  <si>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</si>
  <si>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</si>
  <si>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</si>
  <si>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</si>
  <si>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</si>
  <si>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</si>
  <si>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</si>
  <si>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</si>
  <si>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</si>
  <si>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</si>
  <si>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</si>
  <si>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</si>
  <si>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</si>
  <si>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</si>
  <si>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</si>
  <si>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</si>
  <si>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</si>
  <si>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</si>
  <si>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</si>
  <si>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</si>
  <si>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</si>
  <si>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</si>
  <si>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</si>
  <si>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</si>
  <si>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</si>
  <si>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</si>
  <si>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</si>
  <si>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</si>
  <si>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</si>
  <si>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</si>
  <si>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</si>
  <si>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</si>
  <si>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</si>
  <si>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</si>
  <si>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</si>
  <si>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</si>
  <si>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</si>
  <si>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</si>
  <si>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</si>
  <si>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</si>
  <si>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</si>
  <si>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</si>
  <si>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</si>
  <si>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</si>
  <si>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</si>
  <si>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</si>
  <si>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</si>
  <si>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</si>
  <si>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</si>
  <si>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</si>
  <si>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</si>
  <si>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</si>
  <si>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</si>
  <si>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</si>
  <si>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</si>
  <si>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</si>
  <si>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</si>
  <si>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</si>
  <si>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</si>
  <si>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</si>
  <si>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</si>
  <si>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</si>
  <si>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</si>
  <si>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</si>
  <si>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</si>
  <si>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</si>
  <si>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</si>
  <si>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</si>
  <si>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</si>
  <si>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</si>
  <si>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</si>
  <si>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</si>
  <si>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</si>
  <si>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</si>
  <si>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</si>
  <si>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</si>
  <si>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</si>
  <si>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</si>
  <si>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</si>
  <si>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</si>
  <si>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</si>
  <si>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</si>
  <si>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</si>
  <si>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</si>
  <si>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</si>
  <si>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</si>
  <si>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</si>
  <si>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</si>
  <si>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</si>
  <si>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</si>
  <si>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</si>
  <si>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</si>
  <si>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</si>
  <si>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</si>
  <si>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</si>
  <si>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</si>
  <si>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</si>
  <si>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</si>
  <si>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</si>
  <si>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</si>
  <si>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</si>
  <si>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</si>
  <si>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</si>
  <si>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</si>
  <si>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</si>
  <si>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</si>
  <si>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</si>
  <si>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</si>
  <si>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</si>
  <si>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</si>
  <si>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</si>
  <si>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</si>
  <si>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</si>
  <si>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</si>
  <si>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</si>
  <si>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</si>
  <si>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</si>
  <si>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</si>
  <si>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</si>
  <si>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</si>
  <si>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</si>
  <si>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</si>
  <si>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</si>
  <si>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</si>
  <si>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</si>
  <si>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</si>
  <si>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</si>
  <si>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</si>
  <si>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</si>
  <si>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</si>
  <si>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</si>
  <si>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</si>
  <si>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</si>
  <si>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</si>
  <si>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</si>
  <si>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</si>
  <si>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</si>
  <si>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</si>
  <si>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</si>
  <si>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</si>
  <si>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</si>
  <si>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</si>
  <si>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</si>
  <si>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</si>
  <si>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</si>
  <si>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</si>
  <si>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</si>
  <si>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</si>
  <si>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</si>
  <si>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</si>
  <si>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</si>
  <si>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</si>
  <si>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</si>
  <si>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</si>
  <si>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</si>
  <si>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</si>
  <si>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</si>
  <si>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</si>
  <si>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</si>
  <si>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</si>
  <si>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</si>
  <si>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</si>
  <si>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</si>
  <si>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</si>
  <si>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</si>
  <si>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</si>
  <si>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</si>
  <si>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</si>
  <si>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</si>
  <si>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</si>
  <si>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</si>
  <si>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</si>
  <si>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</si>
  <si>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</si>
  <si>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</si>
  <si>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</si>
  <si>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</si>
  <si>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</si>
  <si>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</si>
  <si>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</si>
  <si>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</si>
  <si>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</si>
  <si>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</si>
  <si>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</si>
  <si>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</si>
  <si>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</si>
  <si>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</si>
  <si>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</si>
  <si>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</si>
  <si>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</si>
  <si>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</si>
  <si>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</si>
  <si>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</si>
  <si>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</si>
  <si>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</si>
  <si>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</si>
  <si>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</si>
  <si>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</si>
  <si>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</si>
  <si>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</si>
  <si>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</si>
  <si>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</si>
  <si>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</si>
  <si>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</si>
  <si>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</si>
  <si>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</si>
  <si>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</si>
  <si>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</si>
  <si>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</si>
  <si>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</si>
  <si>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</si>
  <si>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</si>
  <si>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</si>
  <si>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</si>
  <si>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</si>
  <si>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</si>
  <si>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</si>
  <si>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</si>
  <si>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</si>
  <si>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</si>
  <si>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</si>
  <si>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</si>
  <si>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</si>
  <si>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</si>
  <si>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</si>
  <si>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</si>
  <si>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</si>
  <si>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</si>
  <si>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</si>
  <si>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</si>
  <si>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</si>
  <si>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</si>
  <si>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</si>
  <si>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</si>
  <si>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</si>
  <si>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</si>
  <si>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</si>
  <si>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</si>
  <si>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</si>
  <si>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</si>
  <si>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</si>
  <si>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</si>
  <si>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</si>
  <si>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</si>
  <si>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</si>
  <si>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</si>
  <si>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</si>
  <si>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</si>
  <si>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</si>
  <si>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</si>
  <si>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</si>
  <si>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</si>
  <si>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</si>
  <si>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</si>
  <si>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</si>
  <si>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</si>
  <si>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</si>
  <si>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</si>
  <si>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</si>
  <si>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</si>
  <si>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</si>
  <si>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</si>
  <si>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</si>
  <si>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</si>
  <si>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</si>
  <si>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</si>
  <si>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</si>
  <si>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</si>
  <si>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</si>
  <si>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</si>
  <si>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</si>
  <si>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</si>
  <si>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</si>
  <si>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</si>
  <si>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</si>
  <si>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</si>
  <si>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</si>
  <si>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</si>
  <si>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</si>
  <si>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</si>
  <si>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</si>
  <si>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</si>
  <si>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</si>
  <si>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</si>
  <si>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</si>
  <si>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</si>
  <si>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</si>
  <si>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</si>
  <si>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</si>
  <si>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</si>
  <si>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</si>
  <si>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</si>
  <si>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</si>
  <si>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</si>
  <si>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</si>
  <si>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</si>
  <si>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</si>
  <si>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</si>
  <si>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</si>
  <si>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</si>
  <si>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</si>
  <si>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</si>
  <si>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</si>
  <si>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</si>
  <si>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</si>
  <si>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</si>
  <si>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</si>
  <si>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</si>
  <si>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</si>
  <si>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</si>
  <si>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</si>
  <si>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</si>
  <si>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</si>
  <si>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</si>
  <si>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</si>
  <si>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</si>
  <si>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</si>
  <si>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</si>
  <si>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</si>
  <si>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</si>
  <si>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</si>
  <si>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</si>
  <si>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</si>
  <si>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</si>
  <si>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</si>
  <si>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</si>
  <si>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</si>
  <si>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</si>
  <si>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</si>
  <si>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</si>
  <si>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</si>
  <si>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</si>
  <si>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</si>
  <si>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</si>
  <si>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</si>
  <si>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</si>
  <si>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</si>
  <si>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</si>
  <si>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</si>
  <si>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</si>
  <si>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</si>
  <si>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</si>
  <si>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</si>
  <si>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</si>
  <si>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</si>
  <si>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</si>
  <si>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</si>
  <si>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</si>
  <si>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</si>
  <si>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</si>
  <si>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</si>
  <si>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</si>
  <si>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</si>
  <si>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</si>
  <si>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</si>
  <si>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</si>
  <si>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</si>
  <si>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</si>
  <si>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</si>
  <si>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</si>
  <si>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</si>
  <si>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</si>
  <si>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</si>
  <si>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</si>
  <si>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</si>
  <si>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</si>
  <si>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</si>
  <si>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</si>
  <si>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</si>
  <si>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</si>
  <si>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</si>
  <si>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</si>
  <si>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</si>
  <si>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</si>
  <si>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</si>
  <si>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</si>
  <si>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</si>
  <si>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</si>
  <si>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</si>
  <si>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</si>
  <si>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</si>
  <si>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</si>
  <si>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</si>
  <si>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</si>
  <si>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</si>
  <si>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</si>
  <si>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</si>
  <si>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</si>
  <si>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</si>
  <si>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</si>
  <si>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</si>
  <si>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</si>
  <si>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</si>
  <si>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</si>
  <si>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</si>
  <si>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</si>
  <si>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</si>
  <si>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</si>
  <si>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</si>
  <si>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</si>
  <si>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</si>
  <si>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</si>
  <si>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</si>
  <si>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</si>
  <si>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</si>
  <si>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</si>
  <si>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</si>
  <si>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</si>
  <si>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</si>
  <si>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</si>
  <si>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</si>
  <si>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</si>
  <si>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</si>
  <si>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</si>
  <si>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</si>
  <si>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</si>
  <si>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</si>
  <si>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</si>
  <si>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</si>
  <si>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</si>
  <si>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</si>
  <si>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</si>
  <si>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</si>
  <si>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</si>
  <si>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</si>
  <si>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</si>
  <si>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</si>
  <si>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</si>
  <si>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</si>
  <si>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</si>
  <si>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</si>
  <si>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</si>
  <si>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</si>
  <si>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</si>
  <si>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</si>
  <si>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</si>
  <si>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</si>
  <si>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</si>
  <si>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</si>
  <si>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</si>
  <si>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</si>
  <si>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</si>
  <si>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</si>
  <si>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</si>
  <si>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</si>
  <si>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</si>
  <si>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</si>
  <si>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</si>
  <si>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</si>
  <si>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</si>
  <si>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</si>
  <si>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</si>
  <si>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</si>
  <si>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</si>
  <si>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</si>
  <si>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</si>
  <si>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</si>
  <si>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</si>
  <si>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</si>
  <si>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</si>
  <si>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</si>
  <si>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</si>
  <si>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</si>
  <si>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</si>
  <si>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</si>
  <si>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</si>
  <si>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</si>
  <si>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</si>
  <si>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</si>
  <si>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</si>
  <si>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</si>
  <si>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</si>
  <si>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</si>
  <si>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</si>
  <si>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</si>
  <si>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</si>
  <si>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</si>
  <si>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</si>
  <si>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</si>
  <si>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</si>
  <si>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</si>
  <si>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</si>
  <si>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</si>
  <si>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</si>
  <si>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</si>
  <si>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</si>
  <si>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</si>
  <si>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</si>
  <si>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</si>
  <si>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</si>
  <si>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</si>
  <si>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</si>
  <si>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</si>
  <si>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</si>
  <si>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</si>
  <si>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</si>
  <si>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</si>
  <si>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</si>
  <si>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</si>
  <si>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</si>
  <si>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</si>
  <si>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</si>
  <si>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</si>
  <si>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</si>
  <si>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</si>
  <si>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</si>
  <si>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</si>
  <si>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</si>
  <si>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</si>
  <si>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</si>
  <si>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</si>
  <si>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</si>
  <si>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</si>
  <si>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</si>
  <si>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</si>
  <si>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</si>
  <si>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</si>
  <si>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</si>
  <si>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</si>
  <si>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</si>
  <si>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</si>
  <si>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</si>
  <si>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</si>
  <si>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</si>
  <si>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</si>
  <si>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</si>
  <si>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</si>
  <si>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</si>
  <si>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</si>
  <si>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</si>
  <si>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</si>
  <si>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</si>
  <si>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</si>
  <si>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</si>
  <si>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</si>
  <si>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</si>
  <si>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</si>
  <si>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</si>
  <si>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</si>
  <si>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</si>
  <si>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</si>
  <si>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</si>
  <si>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</si>
  <si>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</si>
  <si>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</si>
  <si>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</si>
  <si>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</si>
  <si>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</si>
  <si>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</si>
  <si>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</si>
  <si>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</si>
  <si>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</si>
  <si>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</si>
  <si>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</si>
  <si>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</si>
  <si>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</si>
  <si>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</si>
  <si>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</si>
  <si>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</si>
  <si>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</si>
  <si>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</si>
  <si>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</si>
  <si>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</si>
  <si>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</si>
  <si>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</si>
  <si>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</si>
  <si>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</si>
  <si>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</si>
  <si>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</si>
  <si>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</si>
  <si>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</si>
  <si>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</si>
  <si>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</si>
  <si>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</si>
  <si>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</si>
  <si>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</si>
  <si>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</si>
  <si>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</si>
  <si>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</si>
  <si>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</si>
  <si>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</si>
  <si>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</si>
  <si>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</si>
  <si>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</si>
  <si>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</si>
  <si>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</si>
  <si>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</si>
  <si>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</si>
  <si>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</si>
  <si>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</si>
  <si>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</si>
  <si>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</si>
  <si>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</si>
  <si>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</si>
  <si>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</si>
  <si>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</si>
  <si>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</si>
  <si>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</si>
  <si>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</si>
  <si>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</si>
  <si>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</si>
  <si>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</si>
  <si>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</si>
  <si>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</si>
  <si>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</si>
  <si>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</si>
  <si>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</si>
  <si>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</si>
  <si>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</si>
  <si>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</si>
  <si>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</si>
  <si>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</si>
  <si>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</si>
  <si>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</si>
  <si>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</si>
  <si>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</si>
  <si>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</si>
  <si>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</si>
  <si>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</si>
  <si>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</si>
  <si>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</si>
  <si>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</si>
  <si>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</si>
  <si>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</si>
  <si>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</si>
  <si>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</si>
  <si>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</si>
  <si>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</si>
  <si>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</si>
  <si>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</si>
  <si>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</si>
  <si>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</si>
  <si>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</si>
  <si>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</si>
  <si>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</si>
  <si>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</si>
  <si>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</si>
  <si>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</si>
  <si>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</si>
  <si>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</si>
  <si>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</si>
  <si>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</si>
  <si>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</si>
  <si>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</si>
  <si>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</si>
  <si>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</si>
  <si>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</si>
  <si>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</si>
  <si>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</si>
  <si>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</si>
  <si>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</si>
  <si>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</si>
  <si>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</si>
  <si>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</si>
  <si>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</si>
  <si>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</si>
  <si>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</si>
  <si>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</si>
  <si>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</si>
  <si>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</si>
  <si>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</si>
  <si>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</si>
  <si>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</si>
  <si>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</si>
  <si>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</si>
  <si>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</si>
  <si>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</si>
  <si>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</si>
  <si>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</si>
  <si>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</si>
  <si>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</si>
  <si>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</si>
  <si>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</si>
  <si>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</si>
  <si>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</si>
  <si>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</si>
  <si>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</si>
  <si>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</si>
  <si>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</si>
  <si>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</si>
  <si>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</si>
  <si>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</si>
  <si>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</si>
  <si>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</si>
  <si>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</si>
  <si>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</si>
  <si>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</si>
  <si>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</si>
  <si>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</si>
  <si>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</si>
  <si>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</si>
  <si>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</si>
  <si>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</si>
  <si>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</si>
  <si>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</si>
  <si>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</si>
  <si>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</si>
  <si>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</si>
  <si>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</si>
  <si>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</si>
  <si>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</si>
  <si>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</si>
  <si>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</si>
  <si>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</si>
  <si>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</si>
  <si>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</si>
  <si>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</si>
  <si>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</si>
  <si>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</si>
  <si>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</si>
  <si>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</si>
  <si>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</si>
  <si>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</si>
  <si>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</si>
  <si>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</si>
  <si>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</si>
  <si>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</si>
  <si>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</si>
  <si>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</si>
  <si>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</si>
  <si>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</si>
  <si>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</si>
  <si>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</si>
  <si>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</si>
  <si>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</si>
  <si>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</si>
  <si>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</si>
  <si>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</si>
  <si>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</si>
  <si>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</si>
  <si>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</si>
  <si>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</si>
  <si>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</si>
  <si>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</si>
  <si>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</si>
  <si>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</si>
  <si>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</si>
  <si>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</si>
  <si>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</si>
  <si>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</si>
  <si>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</si>
  <si>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</si>
  <si>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</si>
  <si>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</si>
  <si>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</si>
  <si>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</si>
  <si>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</si>
  <si>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</si>
  <si>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</si>
  <si>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</si>
  <si>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</si>
  <si>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</si>
  <si>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</si>
  <si>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</si>
  <si>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</si>
  <si>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</si>
  <si>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</si>
  <si>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</si>
  <si>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</si>
  <si>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</si>
  <si>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</si>
  <si>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</si>
  <si>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</si>
  <si>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</si>
  <si>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</si>
  <si>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</si>
  <si>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</si>
  <si>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</si>
  <si>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</si>
  <si>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</si>
  <si>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</si>
  <si>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</si>
  <si>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</si>
  <si>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</si>
  <si>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</si>
  <si>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</si>
  <si>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</si>
  <si>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</si>
  <si>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</si>
  <si>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</si>
  <si>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</si>
  <si>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</si>
  <si>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</si>
  <si>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</si>
  <si>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</si>
  <si>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</si>
  <si>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</si>
  <si>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</si>
  <si>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</si>
  <si>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</si>
  <si>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</si>
  <si>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</si>
  <si>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</si>
  <si>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</si>
  <si>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</si>
  <si>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</si>
  <si>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</si>
  <si>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</si>
  <si>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</si>
  <si>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</si>
  <si>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</si>
  <si>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</si>
  <si>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</si>
  <si>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</si>
  <si>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</si>
  <si>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</si>
  <si>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</si>
  <si>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</si>
  <si>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</si>
  <si>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</si>
  <si>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</si>
  <si>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</si>
  <si>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</si>
  <si>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</si>
  <si>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</si>
  <si>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</si>
  <si>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</si>
  <si>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</si>
  <si>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</si>
  <si>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</si>
  <si>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</si>
  <si>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</si>
  <si>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</si>
  <si>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</si>
  <si>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</si>
  <si>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</si>
  <si>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</si>
  <si>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</si>
  <si>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</si>
  <si>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</si>
  <si>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</si>
  <si>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</si>
  <si>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</si>
  <si>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</si>
  <si>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</si>
  <si>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</si>
  <si>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</si>
  <si>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</si>
  <si>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</si>
  <si>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</si>
  <si>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</si>
  <si>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</si>
  <si>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</si>
  <si>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</si>
  <si>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</si>
  <si>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</si>
  <si>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</si>
  <si>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</si>
  <si>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</si>
  <si>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</si>
  <si>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</si>
  <si>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</si>
  <si>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</si>
  <si>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</si>
  <si>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</si>
  <si>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</si>
  <si>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</si>
  <si>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</si>
  <si>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</si>
  <si>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</si>
  <si>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</si>
  <si>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</si>
  <si>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</si>
  <si>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</si>
  <si>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</si>
  <si>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</si>
  <si>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</si>
  <si>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</si>
  <si>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</si>
  <si>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</si>
  <si>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</si>
  <si>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</si>
  <si>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</si>
  <si>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</si>
  <si>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</si>
  <si>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</si>
  <si>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</si>
  <si>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</si>
  <si>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</si>
  <si>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</si>
  <si>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</si>
  <si>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</si>
  <si>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</si>
  <si>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</si>
  <si>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</si>
  <si>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</si>
  <si>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</si>
  <si>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</si>
  <si>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</si>
  <si>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</si>
  <si>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</si>
  <si>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</si>
  <si>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</si>
  <si>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</si>
  <si>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</si>
  <si>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</si>
  <si>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</si>
  <si>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</si>
  <si>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</si>
  <si>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</si>
  <si>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</si>
  <si>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</si>
  <si>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</si>
  <si>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</si>
  <si>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</si>
  <si>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</si>
  <si>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</si>
  <si>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</si>
  <si>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</si>
  <si>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</si>
  <si>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</si>
  <si>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</si>
  <si>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</si>
  <si>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</si>
  <si>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</si>
  <si>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</si>
  <si>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</si>
  <si>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</si>
  <si>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</si>
  <si>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</si>
  <si>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</si>
  <si>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</si>
  <si>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</si>
  <si>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</si>
  <si>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</si>
  <si>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</si>
  <si>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</si>
  <si>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</si>
  <si>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</si>
  <si>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</si>
  <si>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</si>
  <si>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</si>
  <si>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</si>
  <si>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</si>
  <si>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</si>
  <si>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</si>
  <si>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</si>
  <si>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</si>
  <si>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</si>
  <si>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</si>
  <si>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</si>
  <si>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</si>
  <si>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</si>
  <si>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</si>
  <si>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</si>
  <si>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</si>
  <si>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</si>
  <si>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</si>
  <si>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</si>
  <si>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</si>
  <si>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</si>
  <si>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</si>
  <si>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</si>
  <si>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</si>
  <si>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</si>
  <si>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</si>
  <si>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</si>
  <si>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</si>
  <si>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</si>
  <si>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</si>
  <si>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</si>
  <si>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</si>
  <si>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</si>
  <si>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</si>
  <si>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</si>
  <si>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</si>
  <si>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</si>
  <si>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</si>
  <si>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</si>
  <si>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</si>
  <si>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</si>
  <si>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</si>
  <si>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</si>
  <si>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</si>
  <si>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</si>
  <si>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</si>
  <si>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</si>
  <si>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</si>
  <si>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</si>
  <si>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</si>
  <si>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</si>
  <si>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</si>
  <si>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</si>
  <si>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</si>
  <si>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</si>
  <si>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</si>
  <si>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</si>
  <si>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</si>
  <si>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</si>
  <si>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</si>
  <si>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</si>
  <si>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</si>
  <si>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</si>
  <si>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</si>
  <si>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</si>
  <si>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</si>
  <si>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</si>
  <si>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</si>
  <si>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</si>
  <si>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</si>
  <si>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</si>
  <si>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</si>
  <si>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</si>
  <si>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</si>
  <si>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</si>
  <si>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</si>
  <si>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</si>
  <si>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</si>
  <si>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</si>
  <si>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</si>
  <si>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</si>
  <si>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</si>
  <si>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</si>
  <si>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</si>
  <si>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</si>
  <si>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</si>
  <si>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</si>
  <si>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</si>
  <si>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</si>
  <si>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</si>
  <si>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</si>
  <si>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</si>
  <si>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</si>
  <si>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</si>
  <si>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</si>
  <si>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</si>
  <si>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</si>
  <si>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</si>
  <si>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</si>
  <si>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</si>
  <si>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</si>
  <si>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</si>
  <si>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</si>
  <si>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</si>
  <si>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</si>
  <si>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</si>
  <si>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</si>
  <si>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</si>
  <si>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</si>
  <si>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</si>
  <si>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</si>
  <si>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</si>
  <si>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</si>
  <si>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</si>
  <si>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</si>
  <si>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</si>
  <si>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</si>
  <si>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</si>
  <si>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</si>
  <si>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</si>
  <si>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</si>
  <si>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</si>
  <si>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</si>
  <si>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</si>
  <si>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</si>
  <si>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</si>
  <si>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</si>
  <si>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</si>
  <si>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</si>
  <si>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</si>
  <si>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</si>
  <si>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</si>
  <si>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</si>
  <si>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</si>
  <si>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</si>
  <si>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</si>
  <si>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</si>
  <si>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</si>
  <si>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</si>
  <si>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</si>
  <si>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</si>
  <si>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</si>
  <si>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</si>
  <si>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</si>
  <si>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</si>
  <si>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</si>
  <si>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</si>
  <si>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</si>
  <si>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</si>
  <si>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</si>
  <si>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</si>
  <si>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</si>
  <si>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</si>
  <si>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</si>
  <si>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</si>
  <si>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</si>
  <si>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</si>
  <si>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</si>
  <si>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</si>
  <si>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</si>
  <si>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</si>
  <si>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</si>
  <si>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</si>
  <si>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</si>
  <si>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</si>
  <si>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</si>
  <si>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</si>
  <si>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</si>
  <si>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</si>
  <si>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</si>
  <si>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</si>
  <si>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</si>
  <si>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</si>
  <si>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</si>
  <si>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</si>
  <si>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</si>
  <si>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</si>
  <si>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</si>
  <si>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</si>
  <si>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</si>
  <si>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</si>
  <si>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</si>
  <si>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</si>
  <si>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</si>
  <si>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</si>
  <si>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</si>
  <si>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</si>
  <si>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</si>
  <si>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</si>
  <si>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</si>
  <si>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</si>
  <si>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</si>
  <si>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</si>
  <si>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</si>
  <si>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</si>
  <si>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</si>
  <si>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</si>
  <si>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</si>
  <si>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</si>
  <si>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</si>
  <si>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</si>
  <si>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</si>
  <si>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</si>
  <si>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</si>
  <si>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</si>
  <si>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</si>
  <si>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</si>
  <si>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</si>
  <si>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</si>
  <si>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</si>
  <si>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</si>
  <si>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</si>
  <si>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</si>
  <si>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</si>
  <si>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</si>
  <si>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</si>
  <si>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</si>
  <si>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</si>
  <si>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</si>
  <si>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</si>
  <si>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</si>
  <si>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</si>
  <si>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</si>
  <si>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</si>
  <si>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</si>
  <si>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</si>
  <si>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</si>
  <si>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</si>
  <si>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</si>
  <si>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</si>
  <si>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</si>
  <si>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</si>
  <si>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</si>
  <si>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</si>
  <si>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</si>
  <si>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</si>
  <si>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</si>
  <si>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</si>
  <si>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</si>
  <si>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</si>
  <si>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</si>
  <si>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</si>
  <si>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</si>
  <si>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</si>
  <si>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</si>
  <si>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</si>
  <si>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</si>
  <si>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</si>
  <si>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</si>
  <si>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</si>
  <si>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</si>
  <si>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</si>
  <si>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</si>
  <si>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</si>
  <si>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</si>
  <si>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</si>
  <si>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</si>
  <si>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</si>
  <si>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</si>
  <si>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</si>
  <si>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</si>
  <si>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</si>
  <si>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</si>
  <si>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</si>
  <si>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</si>
  <si>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</si>
  <si>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</si>
  <si>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</si>
  <si>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</si>
  <si>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</si>
  <si>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</si>
  <si>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</si>
  <si>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</si>
  <si>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</si>
  <si>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</si>
  <si>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</si>
  <si>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</si>
  <si>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</si>
  <si>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</si>
  <si>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</si>
  <si>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</si>
  <si>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</si>
  <si>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</si>
  <si>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</si>
  <si>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</si>
  <si>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</si>
  <si>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</si>
  <si>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</si>
  <si>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</si>
  <si>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</si>
  <si>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</si>
  <si>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</si>
  <si>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</si>
  <si>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</si>
  <si>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</si>
  <si>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</si>
  <si>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</si>
  <si>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</si>
  <si>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</si>
  <si>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</si>
  <si>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</si>
  <si>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</si>
  <si>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</si>
  <si>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</si>
  <si>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</si>
  <si>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</si>
  <si>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</si>
  <si>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</si>
  <si>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</si>
  <si>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</si>
  <si>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</si>
  <si>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</si>
  <si>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</si>
  <si>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</si>
  <si>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</si>
  <si>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</si>
  <si>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</si>
  <si>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</si>
  <si>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</si>
  <si>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</si>
  <si>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</si>
  <si>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</si>
  <si>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</si>
  <si>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</si>
  <si>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</si>
  <si>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</si>
  <si>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</si>
  <si>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</si>
  <si>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</si>
  <si>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</si>
  <si>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</si>
  <si>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</si>
  <si>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</si>
  <si>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</si>
  <si>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</si>
  <si>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</si>
  <si>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</si>
  <si>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</si>
  <si>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</si>
  <si>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</si>
  <si>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</si>
  <si>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</si>
  <si>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</si>
  <si>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</si>
  <si>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</si>
  <si>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</si>
  <si>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</si>
  <si>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</si>
  <si>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</si>
  <si>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</si>
  <si>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</si>
  <si>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</si>
  <si>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</si>
  <si>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</si>
  <si>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</si>
  <si>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</si>
  <si>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</si>
  <si>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</si>
  <si>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</si>
  <si>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</si>
  <si>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</si>
  <si>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</si>
  <si>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</si>
  <si>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</si>
  <si>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</si>
  <si>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</si>
  <si>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</si>
  <si>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</si>
  <si>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</si>
  <si>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</si>
  <si>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</si>
  <si>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</si>
  <si>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</si>
  <si>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</si>
  <si>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</si>
  <si>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</si>
  <si>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</si>
  <si>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</si>
  <si>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</si>
  <si>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</si>
  <si>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</si>
  <si>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</si>
  <si>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</si>
  <si>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</si>
  <si>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</si>
  <si>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</si>
  <si>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</si>
  <si>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</si>
  <si>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</si>
  <si>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</si>
  <si>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</si>
  <si>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</si>
  <si>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</si>
  <si>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</si>
  <si>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</si>
  <si>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</si>
  <si>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</si>
  <si>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</si>
  <si>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</si>
  <si>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</si>
  <si>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</si>
  <si>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</si>
  <si>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</si>
  <si>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</si>
  <si>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</si>
  <si>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</si>
  <si>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</si>
  <si>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</si>
  <si>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</si>
  <si>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</si>
  <si>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</si>
  <si>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</si>
  <si>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</si>
  <si>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</si>
  <si>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</si>
  <si>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</si>
  <si>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</si>
  <si>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</si>
  <si>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</si>
  <si>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</si>
  <si>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</si>
  <si>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</si>
  <si>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</si>
  <si>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</si>
  <si>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</si>
  <si>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</si>
  <si>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</si>
  <si>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</si>
  <si>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</si>
  <si>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</si>
  <si>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</si>
  <si>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</si>
  <si>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</si>
  <si>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</si>
  <si>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</si>
  <si>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</si>
  <si>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</si>
  <si>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</si>
  <si>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</si>
  <si>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</si>
  <si>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</si>
  <si>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</si>
  <si>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</si>
  <si>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</si>
  <si>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</si>
  <si>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</si>
  <si>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</si>
  <si>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</si>
  <si>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</si>
  <si>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</si>
  <si>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</si>
  <si>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</si>
  <si>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</si>
  <si>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</si>
  <si>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</si>
  <si>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</si>
  <si>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</si>
  <si>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</si>
  <si>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</si>
  <si>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</si>
  <si>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</si>
  <si>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</si>
  <si>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</si>
  <si>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</si>
  <si>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</si>
  <si>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</si>
  <si>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</si>
  <si>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</si>
  <si>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</si>
  <si>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</si>
  <si>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</si>
  <si>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</si>
  <si>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</si>
  <si>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</si>
  <si>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</si>
  <si>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</si>
  <si>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</si>
  <si>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</si>
  <si>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</si>
  <si>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</si>
  <si>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</si>
  <si>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</si>
  <si>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</si>
  <si>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</si>
  <si>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</si>
  <si>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</si>
  <si>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</si>
  <si>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</si>
  <si>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</si>
  <si>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</si>
  <si>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</si>
  <si>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</si>
  <si>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</si>
  <si>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</si>
  <si>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</si>
  <si>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</si>
  <si>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</si>
  <si>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</si>
  <si>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</si>
  <si>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</si>
  <si>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</si>
  <si>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</si>
  <si>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</si>
  <si>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</si>
  <si>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</si>
  <si>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</si>
  <si>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</si>
  <si>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</si>
  <si>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</si>
  <si>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</si>
  <si>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</si>
  <si>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</si>
  <si>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</si>
  <si>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</si>
  <si>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</si>
  <si>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</si>
  <si>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</si>
  <si>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</si>
  <si>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</si>
  <si>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</si>
  <si>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</si>
  <si>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</si>
  <si>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</si>
  <si>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</si>
  <si>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</si>
  <si>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</si>
  <si>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</si>
  <si>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</si>
  <si>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</si>
  <si>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</si>
  <si>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</si>
  <si>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</si>
  <si>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</si>
  <si>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</si>
  <si>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</si>
  <si>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</si>
  <si>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</si>
  <si>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</si>
  <si>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</si>
  <si>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</si>
  <si>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</si>
  <si>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</si>
  <si>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</si>
  <si>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</si>
  <si>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</si>
  <si>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</si>
  <si>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</si>
  <si>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</si>
  <si>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</si>
  <si>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</si>
  <si>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</si>
  <si>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</si>
  <si>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</si>
  <si>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</si>
  <si>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</si>
  <si>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</si>
  <si>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</si>
  <si>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</si>
  <si>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</si>
  <si>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</si>
  <si>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</si>
  <si>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</si>
  <si>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</si>
  <si>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</si>
  <si>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</si>
  <si>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</si>
  <si>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</si>
  <si>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</si>
  <si>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</si>
  <si>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</si>
  <si>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</si>
  <si>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</si>
  <si>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</si>
  <si>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</si>
  <si>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</si>
  <si>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</si>
  <si>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</si>
  <si>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</si>
  <si>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</si>
  <si>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</si>
  <si>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</si>
  <si>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</si>
  <si>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</si>
  <si>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</si>
  <si>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</si>
  <si>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</si>
  <si>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</si>
  <si>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</si>
  <si>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</si>
  <si>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</si>
  <si>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</si>
  <si>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</si>
  <si>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</si>
  <si>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</si>
  <si>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</si>
  <si>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</si>
  <si>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</si>
  <si>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</si>
  <si>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</si>
  <si>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</si>
  <si>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</si>
  <si>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</si>
  <si>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</si>
  <si>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</si>
  <si>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</si>
  <si>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</si>
  <si>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</si>
  <si>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</si>
  <si>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</si>
  <si>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</si>
  <si>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</si>
  <si>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</si>
  <si>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</si>
  <si>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</si>
  <si>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</si>
  <si>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</si>
  <si>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</si>
  <si>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</si>
  <si>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</si>
  <si>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</si>
  <si>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</si>
  <si>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</si>
  <si>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</si>
  <si>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</si>
  <si>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</si>
  <si>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</si>
  <si>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</si>
  <si>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</si>
  <si>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</si>
  <si>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</si>
  <si>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</si>
  <si>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</si>
  <si>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</si>
  <si>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</si>
  <si>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</si>
  <si>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</si>
  <si>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</si>
  <si>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</si>
  <si>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</si>
  <si>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</si>
  <si>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</si>
  <si>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</si>
  <si>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</si>
  <si>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</si>
  <si>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</si>
  <si>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</si>
  <si>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</si>
  <si>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</si>
  <si>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</si>
  <si>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</si>
  <si>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</si>
  <si>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</si>
  <si>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</si>
  <si>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</si>
  <si>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</si>
  <si>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</si>
  <si>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</si>
  <si>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</si>
  <si>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</si>
  <si>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</si>
  <si>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</si>
  <si>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</si>
  <si>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</si>
  <si>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</si>
  <si>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</si>
  <si>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</si>
  <si>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</si>
  <si>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</si>
  <si>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</si>
  <si>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</si>
  <si>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</si>
  <si>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</si>
  <si>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</si>
  <si>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</si>
  <si>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</si>
  <si>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</si>
  <si>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</si>
  <si>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</si>
  <si>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</si>
  <si>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</si>
  <si>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</si>
  <si>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</si>
  <si>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</si>
  <si>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</si>
  <si>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</si>
  <si>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</si>
  <si>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</si>
  <si>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</si>
  <si>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</si>
  <si>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</si>
  <si>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</si>
  <si>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</si>
  <si>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</si>
  <si>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</si>
  <si>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</si>
  <si>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</si>
  <si>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</si>
  <si>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</si>
  <si>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</si>
  <si>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</si>
  <si>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</si>
  <si>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</si>
  <si>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</si>
  <si>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</si>
  <si>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</si>
  <si>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</si>
  <si>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</si>
  <si>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</si>
  <si>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</si>
  <si>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</si>
  <si>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</si>
  <si>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</si>
  <si>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</si>
  <si>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</si>
  <si>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</si>
  <si>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</si>
  <si>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</si>
  <si>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</si>
  <si>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</si>
  <si>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</si>
  <si>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</si>
  <si>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</si>
  <si>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</si>
  <si>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</si>
  <si>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</si>
  <si>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</si>
  <si>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</si>
  <si>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</si>
  <si>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</si>
  <si>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</si>
  <si>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</si>
  <si>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</si>
  <si>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</si>
  <si>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</si>
  <si>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</si>
  <si>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</si>
  <si>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</si>
  <si>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</si>
  <si>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</si>
  <si>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</si>
  <si>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</si>
  <si>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</si>
  <si>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</si>
  <si>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</si>
  <si>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</si>
  <si>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</si>
  <si>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</si>
  <si>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</si>
  <si>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</si>
  <si>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</si>
  <si>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</si>
  <si>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</si>
  <si>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</si>
  <si>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</si>
  <si>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</si>
  <si>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</si>
  <si>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</si>
  <si>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</si>
  <si>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</si>
  <si>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</si>
  <si>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</si>
  <si>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</si>
  <si>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</si>
  <si>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</si>
  <si>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</si>
  <si>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</si>
  <si>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</si>
  <si>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</si>
  <si>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</si>
  <si>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</si>
  <si>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</si>
  <si>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</si>
  <si>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</si>
  <si>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</si>
  <si>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</si>
  <si>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</si>
  <si>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</si>
  <si>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</si>
  <si>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</si>
  <si>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</si>
  <si>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</si>
  <si>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</si>
  <si>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</si>
  <si>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</si>
  <si>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</si>
  <si>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</si>
  <si>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</si>
  <si>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</si>
  <si>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</si>
  <si>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</si>
  <si>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</si>
  <si>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</si>
  <si>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</si>
  <si>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</si>
  <si>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</si>
  <si>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</si>
  <si>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</si>
  <si>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</si>
  <si>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</si>
  <si>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</si>
  <si>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</si>
  <si>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</si>
  <si>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</si>
  <si>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</si>
  <si>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</si>
  <si>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</si>
  <si>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</si>
  <si>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</si>
  <si>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</si>
  <si>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</si>
  <si>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</si>
  <si>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</si>
  <si>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</si>
  <si>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</si>
  <si>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</si>
  <si>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</si>
  <si>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</si>
  <si>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</si>
  <si>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</si>
  <si>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</si>
  <si>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</si>
  <si>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</si>
  <si>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</si>
  <si>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</si>
  <si>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</si>
  <si>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</si>
  <si>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</si>
  <si>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</si>
  <si>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</si>
  <si>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</si>
  <si>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</si>
  <si>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</si>
  <si>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</si>
  <si>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</si>
  <si>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</si>
  <si>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</si>
  <si>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</si>
  <si>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</si>
  <si>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</si>
  <si>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</si>
  <si>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</si>
  <si>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</si>
  <si>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</si>
  <si>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</si>
  <si>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</si>
  <si>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</si>
  <si>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</si>
  <si>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</si>
  <si>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</si>
  <si>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</si>
  <si>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</si>
  <si>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</si>
  <si>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</si>
  <si>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</si>
  <si>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</si>
  <si>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</si>
  <si>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</si>
  <si>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</si>
  <si>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</si>
  <si>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</si>
  <si>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</si>
  <si>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</si>
  <si>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</si>
  <si>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</si>
  <si>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</si>
  <si>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</si>
  <si>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</si>
  <si>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</si>
  <si>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</si>
  <si>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</si>
  <si>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</si>
  <si>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</si>
  <si>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</si>
  <si>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</si>
  <si>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</si>
  <si>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</si>
  <si>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</si>
  <si>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</si>
  <si>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</si>
  <si>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</si>
  <si>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</si>
  <si>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</si>
  <si>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</si>
  <si>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</si>
  <si>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</si>
  <si>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</si>
  <si>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</si>
  <si>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</si>
  <si>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</si>
  <si>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</si>
  <si>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</si>
  <si>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</si>
  <si>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</si>
  <si>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</si>
  <si>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</si>
  <si>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</si>
  <si>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</si>
  <si>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</si>
  <si>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</si>
  <si>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</si>
  <si>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</si>
  <si>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</si>
  <si>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</si>
  <si>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</si>
  <si>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</si>
  <si>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</si>
  <si>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</si>
  <si>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</si>
  <si>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</si>
  <si>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</si>
  <si>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</si>
  <si>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</si>
  <si>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</si>
  <si>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</si>
  <si>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</si>
  <si>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</si>
  <si>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</si>
  <si>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</si>
  <si>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</si>
  <si>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</si>
  <si>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</si>
  <si>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</si>
  <si>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</si>
  <si>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</si>
  <si>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</si>
  <si>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</si>
  <si>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</si>
  <si>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</si>
  <si>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</si>
  <si>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</si>
  <si>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</si>
  <si>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</si>
  <si>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</si>
  <si>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</si>
  <si>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</si>
  <si>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</si>
  <si>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</si>
  <si>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</si>
  <si>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</si>
  <si>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</si>
  <si>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</si>
  <si>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</si>
  <si>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</si>
  <si>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</si>
  <si>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</si>
  <si>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</si>
  <si>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</si>
  <si>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</si>
  <si>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</si>
  <si>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</si>
  <si>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</si>
  <si>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</si>
  <si>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</si>
  <si>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</si>
  <si>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</si>
  <si>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</si>
  <si>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</si>
  <si>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</si>
  <si>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</si>
  <si>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</si>
  <si>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</si>
  <si>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</si>
  <si>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</si>
  <si>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</si>
  <si>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</si>
  <si>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</si>
  <si>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</si>
  <si>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</si>
  <si>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</si>
  <si>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</si>
  <si>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</si>
  <si>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</si>
  <si>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</si>
  <si>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</si>
  <si>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</si>
  <si>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</si>
  <si>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</si>
  <si>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</si>
  <si>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</si>
  <si>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</si>
  <si>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</si>
  <si>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</si>
  <si>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</si>
  <si>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</si>
  <si>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</si>
  <si>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</si>
  <si>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Schrott</t>
  </si>
  <si>
    <t>yes</t>
  </si>
  <si>
    <t>IMPAG AG</t>
  </si>
  <si>
    <t>CFSI</t>
  </si>
  <si>
    <t>Feldeggstraße 26</t>
  </si>
  <si>
    <t/>
  </si>
  <si>
    <t>Buiding B, 48 Dongfu Road</t>
  </si>
  <si>
    <t>Bernie Chen</t>
  </si>
  <si>
    <t>Bernie.Chen@metalor.com</t>
  </si>
  <si>
    <t>Mining, recycled and scrap sources</t>
  </si>
  <si>
    <t>8 Buroh Street #01-06</t>
  </si>
  <si>
    <t>KL Yap</t>
  </si>
  <si>
    <t>KL.Yap@metalor.com</t>
  </si>
  <si>
    <t>Yunnan</t>
  </si>
  <si>
    <t>CID002870</t>
  </si>
  <si>
    <t>PT Lautan Harmonis Sejahtera</t>
  </si>
  <si>
    <t>ODU GmbH &amp; Co. KG / ODU Automotive GmbH</t>
  </si>
  <si>
    <t>Pregelstr. 11, 84453 Mühldorf</t>
  </si>
  <si>
    <t>Ursula Lange</t>
  </si>
  <si>
    <t>ursula.lange@odu.de</t>
  </si>
  <si>
    <t>+49 8631 6156 1620</t>
  </si>
  <si>
    <t>Christian Mannke</t>
  </si>
  <si>
    <t>Global Director SCM &amp; BPM</t>
  </si>
  <si>
    <t>christian.mannke@odu.de</t>
  </si>
  <si>
    <t>+49 8631 6156 1350</t>
  </si>
  <si>
    <t>we follow the recommendations of the EICC and the GeSI and ask our suppliers to provide an CMRT accordingly.</t>
  </si>
  <si>
    <t>The smelters in our list which source tin from covered countries have been approved by our suppliers to be compliant with the relevant Conflict-Free Smelter Programm Assessment protocols. Therefore, material of this origin has to be regarded as DRC conflict-free.</t>
  </si>
  <si>
    <t>as two of our suppliers haven't identified all smelters</t>
  </si>
  <si>
    <t>as three of our suppliers haven't identified all smelters</t>
  </si>
  <si>
    <t>as four of our suppliers haven't identified all smelters</t>
  </si>
  <si>
    <t xml:space="preserve">Applicable identified Tantalum smelters include: H.C. Stark. We expect and require our suppliers to comply with applicable laws and regulatory requirements to source Conflict Minerals only from conflict-free sources, and to support our reporting and other legal obligations regarding the use of Conflict Minerals. Our supplier has confirmed, that this smelter source exclusively Conflict-Free material based on OECD due diligence and Dodd-Frank requirements.
</t>
  </si>
  <si>
    <t xml:space="preserve">Applicable identified Tungsten smelters include: H.C. Stark. We expect and require our suppliers to comply with applicable laws and regulatory requirements to source Conflict Minerals only from conflict-free sources, and to support our reporting and other legal obligations regarding the use of Conflict Minerals. Our supplier has confirmed, that this smelter source exclusively Conflict-Free material based on OECD due diligence and Dodd-Frank requirements.
</t>
  </si>
  <si>
    <t>for all feedback according to question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</si>
</sst>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70" fontId="80" fillId="0" borderId="0" applyNumberFormat="0" applyFill="0" applyBorder="0" applyAlignment="0" applyProtection="0"/>
    <xf numFmtId="0" fontId="81" fillId="0" borderId="0" applyNumberFormat="0" applyFill="0" applyBorder="0" applyAlignment="0" applyProtection="0"/>
    <xf numFmtId="170" fontId="80" fillId="0" borderId="0" applyNumberFormat="0" applyFill="0" applyBorder="0" applyAlignment="0" applyProtection="0">
      <alignment vertical="top"/>
      <protection locked="0"/>
    </xf>
    <xf numFmtId="17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7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70" fontId="86" fillId="0" borderId="0"/>
    <xf numFmtId="0" fontId="6" fillId="0" borderId="0"/>
    <xf numFmtId="0" fontId="6" fillId="0" borderId="0"/>
    <xf numFmtId="17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70" fontId="86" fillId="0" borderId="0"/>
    <xf numFmtId="0" fontId="5" fillId="0" borderId="0"/>
    <xf numFmtId="170" fontId="6" fillId="0" borderId="0"/>
    <xf numFmtId="0" fontId="69" fillId="0" borderId="0"/>
    <xf numFmtId="0" fontId="69" fillId="0" borderId="0"/>
    <xf numFmtId="170" fontId="5" fillId="0" borderId="0"/>
    <xf numFmtId="0" fontId="69" fillId="0" borderId="0"/>
    <xf numFmtId="0" fontId="5" fillId="0" borderId="0"/>
    <xf numFmtId="0" fontId="69" fillId="0" borderId="0"/>
    <xf numFmtId="0" fontId="87" fillId="0" borderId="0">
      <alignment vertical="center"/>
    </xf>
    <xf numFmtId="17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70" fontId="86" fillId="0" borderId="0"/>
    <xf numFmtId="17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70" fontId="10" fillId="0" borderId="0"/>
    <xf numFmtId="0" fontId="6" fillId="0" borderId="0"/>
    <xf numFmtId="0" fontId="6" fillId="0" borderId="0"/>
    <xf numFmtId="0" fontId="6" fillId="0" borderId="0"/>
    <xf numFmtId="170" fontId="6" fillId="0" borderId="0"/>
  </cellStyleXfs>
  <cellXfs count="45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7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7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70" fontId="0" fillId="2" borderId="4" xfId="0" applyNumberFormat="1" applyFont="1" applyFill="1" applyBorder="1" applyAlignment="1">
      <alignment vertical="top" wrapText="1"/>
    </xf>
    <xf numFmtId="170" fontId="0" fillId="2" borderId="0" xfId="0" applyNumberFormat="1" applyFont="1" applyFill="1" applyBorder="1" applyAlignment="1"/>
    <xf numFmtId="170" fontId="9" fillId="2" borderId="0" xfId="0" applyNumberFormat="1" applyFont="1" applyFill="1" applyBorder="1"/>
    <xf numFmtId="170" fontId="14" fillId="2" borderId="0" xfId="0" applyNumberFormat="1" applyFont="1" applyFill="1" applyBorder="1" applyAlignment="1">
      <alignment horizontal="center" vertical="center" wrapText="1"/>
    </xf>
    <xf numFmtId="170" fontId="11" fillId="2" borderId="0" xfId="0" applyNumberFormat="1" applyFont="1" applyFill="1" applyBorder="1" applyAlignment="1">
      <alignment horizontal="center" vertical="center"/>
    </xf>
    <xf numFmtId="170" fontId="0" fillId="2" borderId="0" xfId="0" applyNumberFormat="1" applyFont="1" applyFill="1" applyBorder="1"/>
    <xf numFmtId="170" fontId="27" fillId="2" borderId="11"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2"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9" fillId="0" borderId="0" xfId="0" applyFont="1" applyAlignment="1">
      <alignment vertical="center" wrapText="1"/>
    </xf>
    <xf numFmtId="170" fontId="96"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70" fontId="97" fillId="0" borderId="0" xfId="480" applyFont="1" applyFill="1" applyAlignment="1">
      <alignment vertical="center" wrapText="1"/>
    </xf>
    <xf numFmtId="0" fontId="96" fillId="0" borderId="0" xfId="0" applyFont="1" applyFill="1" applyAlignment="1">
      <alignment vertical="center" wrapText="1"/>
    </xf>
    <xf numFmtId="0" fontId="112"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4"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70" fontId="96" fillId="0" borderId="0" xfId="480" applyFont="1" applyFill="1" applyAlignment="1">
      <alignment vertical="center" wrapText="1"/>
    </xf>
    <xf numFmtId="0" fontId="55" fillId="0" borderId="0" xfId="0" applyFont="1" applyFill="1" applyAlignment="1">
      <alignment horizontal="left" vertical="center" wrapText="1"/>
    </xf>
    <xf numFmtId="0" fontId="116"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70"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3"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70"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70" fontId="96" fillId="0" borderId="0" xfId="480" applyFont="1" applyFill="1" applyBorder="1" applyAlignment="1">
      <alignment vertical="center" wrapText="1"/>
    </xf>
    <xf numFmtId="0" fontId="106"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70"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4" fillId="0" borderId="0" xfId="527" applyFont="1" applyFill="1" applyAlignment="1">
      <alignment horizontal="left" vertical="center" wrapText="1"/>
    </xf>
    <xf numFmtId="170" fontId="6" fillId="0" borderId="0" xfId="480" applyAlignment="1">
      <alignment vertical="center"/>
    </xf>
    <xf numFmtId="0" fontId="125"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70" fontId="25" fillId="0" borderId="42" xfId="570" applyNumberFormat="1" applyFont="1" applyFill="1" applyBorder="1" applyAlignment="1">
      <alignment horizontal="center" vertical="top" wrapText="1"/>
    </xf>
    <xf numFmtId="170" fontId="25" fillId="0" borderId="43" xfId="570" applyNumberFormat="1" applyFont="1" applyFill="1" applyBorder="1" applyAlignment="1">
      <alignment horizontal="center" vertical="top" wrapText="1"/>
    </xf>
    <xf numFmtId="170"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70" fontId="25" fillId="2" borderId="42" xfId="570" applyNumberFormat="1" applyFont="1" applyFill="1" applyBorder="1" applyAlignment="1">
      <alignment horizontal="center" vertical="top" wrapText="1"/>
    </xf>
    <xf numFmtId="170" fontId="25" fillId="2" borderId="43" xfId="570" applyNumberFormat="1" applyFont="1" applyFill="1" applyBorder="1" applyAlignment="1">
      <alignment horizontal="center" vertical="top" wrapText="1"/>
    </xf>
    <xf numFmtId="170"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4" fillId="2" borderId="1" xfId="487" applyNumberFormat="1" applyFont="1" applyFill="1" applyBorder="1" applyAlignment="1" applyProtection="1">
      <alignment horizontal="left" vertical="center" wrapText="1"/>
      <protection locked="0" hidden="1"/>
    </xf>
    <xf numFmtId="49" fontId="104" fillId="2" borderId="28"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171" fontId="14" fillId="2" borderId="25" xfId="0" applyNumberFormat="1" applyFont="1" applyFill="1" applyBorder="1" applyAlignment="1" applyProtection="1">
      <alignment horizontal="center" wrapText="1"/>
      <protection locked="0"/>
    </xf>
    <xf numFmtId="171"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9">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baseColWidth="10"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7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ht="16.5">
      <c r="A12" s="362"/>
      <c r="B12" s="42" t="s">
        <v>964</v>
      </c>
      <c r="C12" s="43" t="s">
        <v>967</v>
      </c>
      <c r="D12" s="212" t="s">
        <v>968</v>
      </c>
      <c r="E12" s="43" t="s">
        <v>701</v>
      </c>
      <c r="F12" s="43" t="s">
        <v>702</v>
      </c>
      <c r="G12" s="34"/>
    </row>
    <row r="13" spans="1:7" ht="33.75">
      <c r="A13" s="362"/>
      <c r="B13" s="2">
        <v>1</v>
      </c>
      <c r="C13" s="37" t="s">
        <v>1208</v>
      </c>
      <c r="D13" s="39" t="s">
        <v>992</v>
      </c>
      <c r="E13" s="196" t="s">
        <v>969</v>
      </c>
      <c r="F13" s="196"/>
      <c r="G13" s="34"/>
    </row>
    <row r="14" spans="1:7" ht="33.75">
      <c r="A14" s="362"/>
      <c r="B14" s="2">
        <v>2</v>
      </c>
      <c r="C14" s="37" t="s">
        <v>1208</v>
      </c>
      <c r="D14" s="39" t="s">
        <v>1142</v>
      </c>
      <c r="E14" s="196" t="s">
        <v>602</v>
      </c>
      <c r="F14" s="196" t="s">
        <v>603</v>
      </c>
      <c r="G14" s="34"/>
    </row>
    <row r="15" spans="1:7" ht="89.1" customHeight="1">
      <c r="A15" s="362"/>
      <c r="B15" s="347">
        <v>2.0099999999999998</v>
      </c>
      <c r="C15" s="359" t="s">
        <v>1208</v>
      </c>
      <c r="D15" s="368" t="s">
        <v>2686</v>
      </c>
      <c r="E15" s="197" t="s">
        <v>703</v>
      </c>
      <c r="F15" s="197" t="s">
        <v>706</v>
      </c>
      <c r="G15" s="34"/>
    </row>
    <row r="16" spans="1:7" ht="99" customHeight="1">
      <c r="A16" s="362"/>
      <c r="B16" s="348"/>
      <c r="C16" s="360"/>
      <c r="D16" s="369"/>
      <c r="E16" s="198"/>
      <c r="F16" s="198" t="s">
        <v>704</v>
      </c>
      <c r="G16" s="34"/>
    </row>
    <row r="17" spans="1:7" ht="63" customHeight="1">
      <c r="A17" s="362"/>
      <c r="B17" s="349"/>
      <c r="C17" s="361"/>
      <c r="D17" s="370"/>
      <c r="E17" s="37"/>
      <c r="F17" s="37" t="s">
        <v>705</v>
      </c>
      <c r="G17" s="34"/>
    </row>
    <row r="18" spans="1:7" ht="117" customHeight="1">
      <c r="A18" s="362"/>
      <c r="B18" s="347">
        <v>2.02</v>
      </c>
      <c r="C18" s="359" t="s">
        <v>1208</v>
      </c>
      <c r="D18" s="368" t="s">
        <v>2687</v>
      </c>
      <c r="E18" s="197" t="s">
        <v>507</v>
      </c>
      <c r="F18" s="197" t="s">
        <v>596</v>
      </c>
      <c r="G18" s="34"/>
    </row>
    <row r="19" spans="1:7" ht="71.099999999999994" customHeight="1">
      <c r="A19" s="362"/>
      <c r="B19" s="348"/>
      <c r="C19" s="360"/>
      <c r="D19" s="369"/>
      <c r="E19" s="198" t="s">
        <v>601</v>
      </c>
      <c r="F19" s="198" t="s">
        <v>508</v>
      </c>
      <c r="G19" s="34"/>
    </row>
    <row r="20" spans="1:7" ht="90.75" customHeight="1">
      <c r="A20" s="362"/>
      <c r="B20" s="348"/>
      <c r="C20" s="360"/>
      <c r="D20" s="369"/>
      <c r="E20" s="198"/>
      <c r="F20" s="198" t="s">
        <v>708</v>
      </c>
      <c r="G20" s="34"/>
    </row>
    <row r="21" spans="1:7" ht="74.25" customHeight="1">
      <c r="A21" s="362"/>
      <c r="B21" s="349"/>
      <c r="C21" s="361"/>
      <c r="D21" s="370"/>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 customHeight="1">
      <c r="A26" s="362"/>
      <c r="B26" s="350">
        <v>3</v>
      </c>
      <c r="C26" s="347" t="s">
        <v>74</v>
      </c>
      <c r="D26" s="368" t="s">
        <v>2690</v>
      </c>
      <c r="E26" s="359" t="s">
        <v>0</v>
      </c>
      <c r="F26" s="197" t="s">
        <v>68</v>
      </c>
      <c r="G26" s="34"/>
    </row>
    <row r="27" spans="1:7" ht="90" customHeight="1">
      <c r="A27" s="362"/>
      <c r="B27" s="351"/>
      <c r="C27" s="348"/>
      <c r="D27" s="369"/>
      <c r="E27" s="360"/>
      <c r="F27" s="198" t="s">
        <v>63</v>
      </c>
      <c r="G27" s="34"/>
    </row>
    <row r="28" spans="1:7" ht="19.350000000000001" customHeight="1">
      <c r="A28" s="362"/>
      <c r="B28" s="351"/>
      <c r="C28" s="348"/>
      <c r="D28" s="369"/>
      <c r="E28" s="360"/>
      <c r="F28" s="198" t="s">
        <v>64</v>
      </c>
      <c r="G28" s="34"/>
    </row>
    <row r="29" spans="1:7" ht="74.45" customHeight="1">
      <c r="A29" s="362"/>
      <c r="B29" s="351"/>
      <c r="C29" s="348"/>
      <c r="D29" s="369"/>
      <c r="E29" s="360"/>
      <c r="F29" s="198" t="s">
        <v>65</v>
      </c>
      <c r="G29" s="34"/>
    </row>
    <row r="30" spans="1:7" ht="62.45" customHeight="1">
      <c r="A30" s="362"/>
      <c r="B30" s="351"/>
      <c r="C30" s="348"/>
      <c r="D30" s="369"/>
      <c r="E30" s="360"/>
      <c r="F30" s="198" t="s">
        <v>66</v>
      </c>
      <c r="G30" s="34"/>
    </row>
    <row r="31" spans="1:7" ht="81" customHeight="1">
      <c r="A31" s="362"/>
      <c r="B31" s="351"/>
      <c r="C31" s="348"/>
      <c r="D31" s="369"/>
      <c r="E31" s="360"/>
      <c r="F31" s="198" t="s">
        <v>67</v>
      </c>
      <c r="G31" s="34"/>
    </row>
    <row r="32" spans="1:7" ht="48.75" customHeight="1">
      <c r="A32" s="362"/>
      <c r="B32" s="351"/>
      <c r="C32" s="348"/>
      <c r="D32" s="369"/>
      <c r="E32" s="360"/>
      <c r="F32" s="198" t="s">
        <v>70</v>
      </c>
      <c r="G32" s="34"/>
    </row>
    <row r="33" spans="1:7" ht="98.45" customHeight="1">
      <c r="A33" s="362"/>
      <c r="B33" s="351"/>
      <c r="C33" s="348"/>
      <c r="D33" s="369"/>
      <c r="E33" s="360"/>
      <c r="F33" s="198" t="s">
        <v>69</v>
      </c>
      <c r="G33" s="34"/>
    </row>
    <row r="34" spans="1:7" ht="89.1" customHeight="1">
      <c r="A34" s="362"/>
      <c r="B34" s="351"/>
      <c r="C34" s="348"/>
      <c r="D34" s="369"/>
      <c r="E34" s="360"/>
      <c r="F34" s="198" t="s">
        <v>71</v>
      </c>
      <c r="G34" s="34"/>
    </row>
    <row r="35" spans="1:7" ht="29.1" customHeight="1">
      <c r="A35" s="362"/>
      <c r="B35" s="351"/>
      <c r="C35" s="348"/>
      <c r="D35" s="369"/>
      <c r="E35" s="360"/>
      <c r="F35" s="198" t="s">
        <v>72</v>
      </c>
      <c r="G35" s="34"/>
    </row>
    <row r="36" spans="1:7" ht="126.75">
      <c r="A36" s="362"/>
      <c r="B36" s="352"/>
      <c r="C36" s="349"/>
      <c r="D36" s="370"/>
      <c r="E36" s="361"/>
      <c r="F36" s="199" t="s">
        <v>73</v>
      </c>
      <c r="G36" s="34"/>
    </row>
    <row r="37" spans="1:7" ht="123.75">
      <c r="A37" s="362"/>
      <c r="B37" s="175">
        <v>3.01</v>
      </c>
      <c r="C37" s="176" t="s">
        <v>74</v>
      </c>
      <c r="D37" s="39" t="s">
        <v>2691</v>
      </c>
      <c r="E37" s="200" t="s">
        <v>1458</v>
      </c>
      <c r="F37" s="201" t="s">
        <v>1577</v>
      </c>
      <c r="G37" s="34"/>
    </row>
    <row r="38" spans="1:7" ht="112.5">
      <c r="A38" s="362"/>
      <c r="B38" s="175">
        <v>3.02</v>
      </c>
      <c r="C38" s="176" t="s">
        <v>1492</v>
      </c>
      <c r="D38" s="39" t="s">
        <v>2692</v>
      </c>
      <c r="E38" s="200" t="s">
        <v>1507</v>
      </c>
      <c r="F38" s="201" t="s">
        <v>1578</v>
      </c>
      <c r="G38" s="34"/>
    </row>
    <row r="39" spans="1:7" ht="101.25">
      <c r="A39" s="362"/>
      <c r="B39" s="184">
        <v>4</v>
      </c>
      <c r="C39" s="183" t="s">
        <v>1757</v>
      </c>
      <c r="D39" s="39" t="s">
        <v>2693</v>
      </c>
      <c r="E39" s="37" t="s">
        <v>2625</v>
      </c>
      <c r="F39" s="37" t="s">
        <v>1758</v>
      </c>
      <c r="G39" s="34"/>
    </row>
    <row r="40" spans="1:7" ht="56.25">
      <c r="A40" s="362"/>
      <c r="B40" s="175">
        <v>4.01</v>
      </c>
      <c r="C40" s="183" t="s">
        <v>1757</v>
      </c>
      <c r="D40" s="39" t="s">
        <v>2695</v>
      </c>
      <c r="E40" s="37" t="s">
        <v>2644</v>
      </c>
      <c r="F40" s="37" t="s">
        <v>2649</v>
      </c>
      <c r="G40" s="34"/>
    </row>
    <row r="41" spans="1:7" ht="56.25">
      <c r="A41" s="362"/>
      <c r="B41" s="175" t="s">
        <v>2680</v>
      </c>
      <c r="C41" s="183" t="s">
        <v>1757</v>
      </c>
      <c r="D41" s="39" t="s">
        <v>2694</v>
      </c>
      <c r="E41" s="37" t="s">
        <v>2683</v>
      </c>
      <c r="F41" s="37" t="s">
        <v>2681</v>
      </c>
      <c r="G41" s="34"/>
    </row>
    <row r="42" spans="1:7" ht="56.25">
      <c r="A42" s="362"/>
      <c r="B42" s="175" t="s">
        <v>2732</v>
      </c>
      <c r="C42" s="183" t="s">
        <v>1757</v>
      </c>
      <c r="D42" s="39" t="s">
        <v>2903</v>
      </c>
      <c r="E42" s="37" t="s">
        <v>2682</v>
      </c>
      <c r="F42" s="37" t="s">
        <v>2733</v>
      </c>
      <c r="G42" s="34"/>
    </row>
    <row r="43" spans="1:7" ht="123.75">
      <c r="A43" s="362"/>
      <c r="B43" s="193">
        <v>4.0999999999999996</v>
      </c>
      <c r="C43" s="183" t="s">
        <v>2902</v>
      </c>
      <c r="D43" s="194">
        <v>42867</v>
      </c>
      <c r="E43" s="202" t="s">
        <v>2905</v>
      </c>
      <c r="F43" s="37" t="s">
        <v>2904</v>
      </c>
      <c r="G43" s="34"/>
    </row>
    <row r="44" spans="1:7" ht="78.75">
      <c r="A44" s="362"/>
      <c r="B44" s="193">
        <v>4.2</v>
      </c>
      <c r="C44" s="183" t="s">
        <v>2902</v>
      </c>
      <c r="D44" s="194">
        <v>42704</v>
      </c>
      <c r="E44" s="202" t="s">
        <v>3155</v>
      </c>
      <c r="F44" s="37" t="s">
        <v>3120</v>
      </c>
      <c r="G44" s="34"/>
    </row>
    <row r="45" spans="1:7" ht="157.5">
      <c r="A45" s="362"/>
      <c r="B45" s="241">
        <v>5</v>
      </c>
      <c r="C45" s="183" t="s">
        <v>2902</v>
      </c>
      <c r="D45" s="194">
        <v>42867</v>
      </c>
      <c r="E45" s="202" t="s">
        <v>13730</v>
      </c>
      <c r="F45" s="37" t="s">
        <v>13315</v>
      </c>
      <c r="G45" s="34"/>
    </row>
    <row r="46" spans="1:7" ht="45">
      <c r="A46" s="362"/>
      <c r="B46" s="193">
        <v>5.01</v>
      </c>
      <c r="C46" s="183" t="s">
        <v>2902</v>
      </c>
      <c r="D46" s="194">
        <v>42907</v>
      </c>
      <c r="E46" s="202" t="s">
        <v>13786</v>
      </c>
      <c r="F46" s="37" t="s">
        <v>13315</v>
      </c>
      <c r="G46" s="34"/>
    </row>
    <row r="47" spans="1:7" ht="67.5">
      <c r="A47" s="362"/>
      <c r="B47" s="193">
        <v>5.0999999999999996</v>
      </c>
      <c r="C47" s="183" t="s">
        <v>2902</v>
      </c>
      <c r="D47" s="194">
        <v>43070</v>
      </c>
      <c r="E47" s="202" t="s">
        <v>13985</v>
      </c>
      <c r="F47" s="37" t="s">
        <v>13986</v>
      </c>
      <c r="G47" s="34"/>
    </row>
    <row r="48" spans="1:7" ht="56.25">
      <c r="A48" s="362"/>
      <c r="B48" s="193">
        <v>5.1100000000000003</v>
      </c>
      <c r="C48" s="183" t="s">
        <v>14260</v>
      </c>
      <c r="D48" s="194">
        <v>43217</v>
      </c>
      <c r="E48" s="202" t="s">
        <v>14404</v>
      </c>
      <c r="F48" s="37" t="s">
        <v>14299</v>
      </c>
      <c r="G48" s="34"/>
    </row>
    <row r="49" spans="1:7" ht="56.25">
      <c r="A49" s="362"/>
      <c r="B49" s="193">
        <v>5.12</v>
      </c>
      <c r="C49" s="183" t="s">
        <v>14260</v>
      </c>
      <c r="D49" s="194">
        <v>43581</v>
      </c>
      <c r="E49" s="202" t="s">
        <v>14404</v>
      </c>
      <c r="F49" s="37" t="s">
        <v>15467</v>
      </c>
      <c r="G49" s="34"/>
    </row>
    <row r="50" spans="1:7" ht="13.5" thickBot="1">
      <c r="A50" s="363"/>
      <c r="B50" s="364" t="str">
        <f ca="1">OFFSET(L!$C$1,MATCH("General"&amp;"Cpy",L!$A:$A,0)-1,SL,,)</f>
        <v>© 2019 Responsible Minerals Initiative. All rights reserved.</v>
      </c>
      <c r="C50" s="364"/>
      <c r="D50" s="364"/>
      <c r="E50" s="364"/>
      <c r="F50" s="364"/>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baseColWidth="10"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baseColWidth="10"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31" zoomScale="70" zoomScaleNormal="70" zoomScalePageLayoutView="60" workbookViewId="0">
      <selection activeCell="A3" sqref="A3"/>
    </sheetView>
  </sheetViews>
  <sheetFormatPr baseColWidth="10"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Schulung und Beratung, Vorlagen, Responsible Minerals Assurance Process, konforme Schmelzhütten Liste</v>
      </c>
      <c r="B1" s="118" t="s">
        <v>510</v>
      </c>
    </row>
    <row r="2" spans="1:2" ht="30">
      <c r="A2" s="128" t="str">
        <f ca="1">OFFSET(L!$C$1,MATCH("Instructions"&amp;ADDRESS(ROW(),COLUMN(),4),L!$A:$A,0)-1,SL,,)</f>
        <v>Einführung</v>
      </c>
      <c r="B2" s="118" t="s">
        <v>1434</v>
      </c>
    </row>
    <row r="3" spans="1:2" ht="181.5" customHeight="1">
      <c r="A3" s="125" t="str">
        <f ca="1">OFFSET(L!$C$1,MATCH("Instructions"&amp;ADDRESS(ROW(),COLUMN(),4),L!$A:$A,0)-1,SL,,)</f>
        <v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v>
      </c>
      <c r="B3" s="118" t="s">
        <v>1435</v>
      </c>
    </row>
    <row r="4" spans="1:2" ht="150">
      <c r="A4" s="125" t="str">
        <f ca="1">OFFSET(L!$C$1,MATCH("Instructions"&amp;ADDRESS(ROW(),COLUMN(),4),L!$A:$A,0)-1,SL,,)</f>
        <v>*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v>
      </c>
      <c r="B4" s="118" t="s">
        <v>1441</v>
      </c>
    </row>
    <row r="5" spans="1:2" ht="15">
      <c r="A5" s="129"/>
      <c r="B5" s="118"/>
    </row>
    <row r="6" spans="1:2" ht="30">
      <c r="A6" s="128" t="str">
        <f ca="1">OFFSET(L!$C$1,MATCH("Instructions"&amp;ADDRESS(ROW(),COLUMN(),4),L!$A:$A,0)-1,SL,,)</f>
        <v>Anleitung zum Ausfüllen von Informationen zu Unternehmen (Zeilen 8 - 22).  Die Kommentare nur in englischer Sprache.</v>
      </c>
      <c r="B6" s="118" t="s">
        <v>1434</v>
      </c>
    </row>
    <row r="7" spans="1:2" ht="15">
      <c r="A7" s="125" t="str">
        <f ca="1">OFFSET(L!$C$1,MATCH("Instructions"&amp;ADDRESS(ROW(),COLUMN(),4),L!$A:$A,0)-1,SL,,)</f>
        <v>Hinweis: Eingaben mit (*) sind Pflichtfelder</v>
      </c>
      <c r="B7" s="118"/>
    </row>
    <row r="8" spans="1:2" ht="30">
      <c r="A8" s="125" t="str">
        <f ca="1">OFFSET(L!$C$1,MATCH("Instructions"&amp;ADDRESS(ROW(),COLUMN(),4),L!$A:$A,0)-1,SL,,)</f>
        <v>1. Geben Sie hier den rechtmäßigen Firmennamen Ihres Unternehmens ein. Bitte verwenden Sie keine Abkürzungen. In diesem Feld haben Sie die Möglichkeit, weitere Geschäftsnamen, DBAs usw. hinzuzufügen.</v>
      </c>
      <c r="B8" s="118"/>
    </row>
    <row r="9" spans="1:2" ht="376.5" customHeight="1">
      <c r="A9" s="179"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8" t="s">
        <v>1433</v>
      </c>
    </row>
    <row r="10" spans="1:2" ht="36" customHeight="1">
      <c r="A10" s="125" t="str">
        <f ca="1">OFFSET(L!$C$1,MATCH("Instructions"&amp;ADDRESS(ROW(),COLUMN(),4),L!$A:$A,0)-1,SL,,)</f>
        <v>3.Geben sie ihre eindeutige Firmenidentifikationsnummer (DUNS Nummer, Steuernummer, Kunden-spezifische Kennung, etc.) ein</v>
      </c>
      <c r="B10" s="118"/>
    </row>
    <row r="11" spans="1:2" ht="35.25" customHeight="1">
      <c r="A11" s="125" t="str">
        <f ca="1">OFFSET(L!$C$1,MATCH("Instructions"&amp;ADDRESS(ROW(),COLUMN(),4),L!$A:$A,0)-1,SL,,)</f>
        <v>4. Geben Sie die Quelle für die eindeutige Kennung oder Code ( "DUNS",  "MWST","Kunde", etc. ) an.</v>
      </c>
      <c r="B11" s="118"/>
    </row>
    <row r="12" spans="1:2" ht="30">
      <c r="A12" s="125" t="str">
        <f ca="1">OFFSET(L!$C$1,MATCH("Instructions"&amp;ADDRESS(ROW(),COLUMN(),4),L!$A:$A,0)-1,SL,,)</f>
        <v>5. Geben Sie Ihre vollständige Firmenanschrift an (Straße, Stadt, Postleitzahl,  Bundesland).  Dieses Feld ist optional.</v>
      </c>
      <c r="B12" s="118" t="s">
        <v>1434</v>
      </c>
    </row>
    <row r="13" spans="1:2" ht="33.75" customHeight="1">
      <c r="A13" s="125" t="str">
        <f ca="1">OFFSET(L!$C$1,MATCH("Instructions"&amp;ADDRESS(ROW(),COLUMN(),4),L!$A:$A,0)-1,SL,,)</f>
        <v>6. Geben Sie den Namen der Kontaktperson zum Inhalt der Erklärung an. Dies ist ein obligatorisches Feld.</v>
      </c>
      <c r="B13" s="118"/>
    </row>
    <row r="14" spans="1:2" ht="45">
      <c r="A14" s="12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8"/>
    </row>
    <row r="15" spans="1:2" ht="15">
      <c r="A15" s="125" t="str">
        <f ca="1">OFFSET(L!$C$1,MATCH("Instructions"&amp;ADDRESS(ROW(),COLUMN(),4),L!$A:$A,0)-1,SL,,)</f>
        <v>8. Geben Sie die Telefonnummer des Kontakts an. Dies ist ein obligatorisches Feld.</v>
      </c>
      <c r="B15" s="118"/>
    </row>
    <row r="16" spans="1:2" ht="45">
      <c r="A16" s="12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8"/>
    </row>
    <row r="17" spans="1:2" ht="15">
      <c r="A17" s="125" t="str">
        <f ca="1">OFFSET(L!$C$1,MATCH("Instructions"&amp;ADDRESS(ROW(),COLUMN(),4),L!$A:$A,0)-1,SL,,)</f>
        <v>10. Geben Sie den Titel für den Namen des Bevollmächtigten an. Dieses Feld ist optional.</v>
      </c>
      <c r="B17" s="118"/>
    </row>
    <row r="18" spans="1:2" ht="45">
      <c r="A18" s="12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8"/>
    </row>
    <row r="19" spans="1:2" ht="15">
      <c r="A19" s="125" t="str">
        <f ca="1">OFFSET(L!$C$1,MATCH("Instructions"&amp;ADDRESS(ROW(),COLUMN(),4),L!$A:$A,0)-1,SL,,)</f>
        <v>12. Geben Sie die Telefonnummer des Bevollmächtigten an. Dies ist ein obligatorisches Feld.</v>
      </c>
      <c r="B19" s="118"/>
    </row>
    <row r="20" spans="1:2" ht="33.75" customHeight="1">
      <c r="A20" s="125" t="str">
        <f ca="1">OFFSET(L!$C$1,MATCH("Instructions"&amp;ADDRESS(ROW(),COLUMN(),4),L!$A:$A,0)-1,SL,,)</f>
        <v>13. Bitte geben Sie das Datum der Fertigstellung für dieses Formblatt mit dem Format TT-MMM-JJJJ ein. Dies ist ein obligatorisches Feld.</v>
      </c>
      <c r="B20" s="118"/>
    </row>
    <row r="21" spans="1:2" ht="30">
      <c r="A21" s="125" t="str">
        <f ca="1">OFFSET(L!$C$1,MATCH("Instructions"&amp;ADDRESS(ROW(),COLUMN(),4),L!$A:$A,0)-1,SL,,)</f>
        <v>14. Zum Beispiel kann der Benutzer die Datei unter dem Namen speichern: companyname-datum.xls (Datum im Format JJJJ-MM-TT).</v>
      </c>
      <c r="B21" s="118" t="s">
        <v>1434</v>
      </c>
    </row>
    <row r="22" spans="1:2" ht="15">
      <c r="A22" s="129"/>
      <c r="B22" s="118"/>
    </row>
    <row r="23" spans="1:2" ht="30">
      <c r="A23" s="128" t="str">
        <f ca="1">OFFSET(L!$C$1,MATCH("Instructions"&amp;ADDRESS(ROW(),COLUMN(),4),L!$A:$A,0)-1,SL,,)</f>
        <v>Anweisungen für das Ausfüllen der sieben Due Diligence Fragen (Zeilen 24 - 65).
Antworten bitte nur in englischer Sprache eingeben.</v>
      </c>
      <c r="B23" s="118" t="s">
        <v>1434</v>
      </c>
    </row>
    <row r="24" spans="1:2" ht="90">
      <c r="A24" s="125" t="str">
        <f ca="1">OFFSET(L!$C$1,MATCH("Instructions"&amp;ADDRESS(ROW(),COLUMN(),4),L!$A:$A,0)-1,SL,,)</f>
        <v>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8" t="s">
        <v>1437</v>
      </c>
    </row>
    <row r="25" spans="1:2" ht="75">
      <c r="A25" s="125" t="str">
        <f ca="1">OFFSET(L!$C$1,MATCH("Instructions"&amp;ADDRESS(ROW(),COLUMN(),4),L!$A:$A,0)-1,SL,,)</f>
        <v>Geben Sie bei jeder der sieben obligatorischen Fragen eine Antwort für jedes Metall an, indem Sie eine Auswahl aus dem Pull-down-Menü treffen. Die Fragen in diesem Abschnitt müssen für alle 3TG-Mineralien beantwortet werden. 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v>
      </c>
      <c r="B25" s="118" t="s">
        <v>1434</v>
      </c>
    </row>
    <row r="26" spans="1:2" ht="276.75" customHeight="1">
      <c r="A26" s="12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8" t="s">
        <v>1434</v>
      </c>
    </row>
    <row r="27" spans="1:2" ht="30">
      <c r="A27" s="125" t="str">
        <f ca="1">OFFSET(L!$C$1,MATCH("Instructions"&amp;ADDRESS(ROW(),COLUMN(),4),L!$A:$A,0)-1,SL,,)</f>
        <v>Manche Unternehmen benötigen eine Begründung für eine "Nein" -Antwort im Kommentarfeld</v>
      </c>
      <c r="B27" s="118" t="s">
        <v>1434</v>
      </c>
    </row>
    <row r="28" spans="1:2" ht="247.5" customHeight="1">
      <c r="A28" s="12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8"/>
    </row>
    <row r="29" spans="1:2" ht="180">
      <c r="A29" s="125" t="str">
        <f ca="1">OFFSET(L!$C$1,MATCH("Instructions"&amp;ADDRESS(ROW(),COLUMN(),4),L!$A:$A,0)-1,SL,,)</f>
        <v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v>
      </c>
      <c r="B29" s="118" t="s">
        <v>1434</v>
      </c>
    </row>
    <row r="30" spans="1:2" ht="153" customHeight="1">
      <c r="A30" s="125" t="str">
        <f ca="1">OFFSET(L!$C$1,MATCH("Instructions"&amp;ADDRESS(ROW(),COLUMN(),4),L!$A:$A,0)-1,SL,,)</f>
        <v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0" s="118" t="s">
        <v>1434</v>
      </c>
    </row>
    <row r="31" spans="1:2" ht="210">
      <c r="A31" s="125" t="str">
        <f ca="1">OFFSET(L!$C$1,MATCH("Instructions"&amp;ADDRESS(ROW(),COLUMN(),4),L!$A:$A,0)-1,SL,,)</f>
        <v>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1" s="118" t="s">
        <v>1437</v>
      </c>
    </row>
    <row r="32" spans="1:2" ht="75">
      <c r="A32" s="125" t="str">
        <f ca="1">OFFSET(L!$C$1,MATCH("Instructions"&amp;ADDRESS(ROW(),COLUMN(),4),L!$A:$A,0)-1,SL,,)</f>
        <v>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2" s="118"/>
    </row>
    <row r="33" spans="1:2" ht="60">
      <c r="A33" s="125" t="str">
        <f ca="1">OFFSET(L!$C$1,MATCH("Instructions"&amp;ADDRESS(ROW(),COLUMN(),4),L!$A:$A,0)-1,SL,,)</f>
        <v>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3" s="118" t="s">
        <v>1434</v>
      </c>
    </row>
    <row r="34" spans="1:2" ht="15">
      <c r="A34" s="125" t="str">
        <f ca="1">OFFSET(L!$C$1,MATCH("Instructions"&amp;ADDRESS(ROW(),COLUMN(),4),L!$A:$A,0)-1,SL,,)</f>
        <v>Geben Sie, falls notwendig, Anmerkungen im Kommentarbereich ein, die für eine Klarstellung ihrer Antwort hilfreich sind.</v>
      </c>
      <c r="B34" s="118"/>
    </row>
    <row r="35" spans="1:2" ht="15">
      <c r="A35" s="129"/>
      <c r="B35" s="118"/>
    </row>
    <row r="36" spans="1:2" ht="45">
      <c r="A36" s="128" t="str">
        <f ca="1">OFFSET(L!$C$1,MATCH("Instructions"&amp;ADDRESS(ROW(),COLUMN(),4),L!$A:$A,0)-1,SL,,)</f>
        <v>Instruktionen zur Beantwortung der Fragen A. – I. (Reihen 69–86).  Die Fragen A. bis I. müssen beantwortet werden, wenn die Antwort auf Frage 1 für irgendein Metall „Ja“ lautet.
Bitte geben Sie Ihre Antworten nur auf ENGLISCH</v>
      </c>
      <c r="B36" s="118" t="s">
        <v>1434</v>
      </c>
    </row>
    <row r="37" spans="1:2" ht="135">
      <c r="A37" s="125" t="str">
        <f ca="1">OFFSET(L!$C$1,MATCH("Instructions"&amp;ADDRESS(ROW(),COLUMN(),4),L!$A:$A,0)-1,SL,,)</f>
        <v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v>
      </c>
      <c r="B37" s="118" t="s">
        <v>1436</v>
      </c>
    </row>
    <row r="38" spans="1:2" ht="75">
      <c r="A38" s="125" t="str">
        <f ca="1">OFFSET(L!$C$1,MATCH("Instructions"&amp;ADDRESS(ROW(),COLUMN(),4),L!$A:$A,0)-1,SL,,)</f>
        <v>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v>
      </c>
      <c r="B38" s="118"/>
    </row>
    <row r="39" spans="1:2" ht="75">
      <c r="A39" s="125" t="str">
        <f ca="1">OFFSET(L!$C$1,MATCH("Instructions"&amp;ADDRESS(ROW(),COLUMN(),4),L!$A:$A,0)-1,SL,,)</f>
        <v>B. Diese Erklärung dient der Bestimmung, ob die Beschaffungsrichtlinie für Konfliktmineralien eines Unternehmens auf dessen Website verfügbar ist. Die Antwort auf diese Frage muss „Ja“ oder „Nein“ lauten. Bei „Ja“ sollte der Benutzer die URL im Frage/Kommentar-Feld angeben. 
Diese Frage muss beantwortet werden.</v>
      </c>
      <c r="B39" s="118"/>
    </row>
    <row r="40" spans="1:2" ht="75">
      <c r="A40" s="125" t="str">
        <f ca="1">OFFSET(L!$C$1,MATCH("Instructions"&amp;ADDRESS(ROW(),COLUMN(),4),L!$A:$A,0)-1,SL,,)</f>
        <v>C. Diese Frage dient der Bestimmung, ob es für ein Unternehmen erforderlich ist, dass seine direkten Lieferanten DRC-konfliktfrei sind. Die Antwort auf diese Frage muss „Ja“ oder „Nein“ lauten.  Die Definition von „DRC-konfliktfrei“ finden Sie auf dem Definitionen-Arbeitsblatt.  Anmerkungen sollten in einem Frage/Kommentar-Feld festgehalten werden. 
Diese Frage muss beantwortet werden.</v>
      </c>
      <c r="B40" s="118" t="s">
        <v>1439</v>
      </c>
    </row>
    <row r="41" spans="1:2" ht="75">
      <c r="A41" s="125" t="str">
        <f ca="1">OFFSET(L!$C$1,MATCH("Instructions"&amp;ADDRESS(ROW(),COLUMN(),4),L!$A:$A,0)-1,SL,,)</f>
        <v>D.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v>
      </c>
      <c r="B41" s="118" t="s">
        <v>1437</v>
      </c>
    </row>
    <row r="42" spans="1:2" ht="180">
      <c r="A42" s="125" t="str">
        <f ca="1">OFFSET(L!$C$1,MATCH("Instructions"&amp;ADDRESS(ROW(),COLUMN(),4),L!$A:$A,0)-1,SL,,)</f>
        <v>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
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v>
      </c>
      <c r="B42" s="118" t="s">
        <v>1438</v>
      </c>
    </row>
    <row r="43" spans="1:2" ht="165">
      <c r="A43" s="125" t="str">
        <f ca="1">OFFSET(L!$C$1,MATCH("Instructions"&amp;ADDRESS(ROW(),COLUMN(),4),L!$A:$A,0)-1,SL,,)</f>
        <v>F.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8" t="s">
        <v>1434</v>
      </c>
    </row>
    <row r="44" spans="1:2" ht="135">
      <c r="A44" s="125" t="str">
        <f ca="1">OFFSET(L!$C$1,MATCH("Instructions"&amp;ADDRESS(ROW(),COLUMN(),4),L!$A:$A,0)-1,SL,,)</f>
        <v>G.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8" t="s">
        <v>1435</v>
      </c>
    </row>
    <row r="45" spans="1:2" ht="75">
      <c r="A45" s="125" t="str">
        <f ca="1">OFFSET(L!$C$1,MATCH("Instructions"&amp;ADDRESS(ROW(),COLUMN(),4),L!$A:$A,0)-1,SL,,)</f>
        <v>H.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8" t="s">
        <v>1434</v>
      </c>
    </row>
    <row r="46" spans="1:2" ht="45">
      <c r="A46" s="125" t="str">
        <f ca="1">OFFSET(L!$C$1,MATCH("Instructions"&amp;ADDRESS(ROW(),COLUMN(),4),L!$A:$A,0)-1,SL,,)</f>
        <v>I. Diese Frage dient der Bestimmung, ob ein Unternehmen in den Geltungsbereich der SEC-Regel fällt. Die Antwort auf diese Frage muss „Ja“ oder „Nein“ lauten. Anmerkungen sollten in einem Frage/Kommentar-Feld festgehalten werden. Diese Frage muss beantwortet werden. Wenden Sie sich für weitere Informationen an www.sec.gov.</v>
      </c>
      <c r="B46" s="118" t="s">
        <v>1437</v>
      </c>
    </row>
    <row r="47" spans="1:2" ht="15">
      <c r="A47" s="129"/>
      <c r="B47" s="118"/>
    </row>
    <row r="48" spans="1:2" ht="30">
      <c r="A48" s="128" t="str">
        <f ca="1">OFFSET(L!$C$1,MATCH("Instructions"&amp;ADDRESS(ROW(),COLUMN(),4),L!$A:$A,0)-1,SL,,)</f>
        <v>Hinweis: Spalten mit (*) sind Pflichtfelder</v>
      </c>
      <c r="B48" s="118" t="s">
        <v>1434</v>
      </c>
    </row>
    <row r="49" spans="1:2" ht="45">
      <c r="A49" s="125" t="str">
        <f ca="1">OFFSET(L!$C$1,MATCH("Instructions"&amp;ADDRESS(ROW(),COLUMN(),4),L!$A:$A,0)-1,SL,,)</f>
        <v>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v>
      </c>
      <c r="B49" s="118"/>
    </row>
    <row r="50" spans="1:2" ht="60">
      <c r="A50" s="125" t="str">
        <f ca="1">OFFSET(L!$C$1,MATCH("Instructions"&amp;ADDRESS(ROW(),COLUMN(),4),L!$A:$A,0)-1,SL,,)</f>
        <v>1. Eingabespalte Schmelzofenidentifizierung – Wenn Sie die Schmelzofenidentifizierungsnummer kennen, geben Sie die Nummer in Spalte A ein (Spalten B, C, E, F, G, I und J füllen sich automatisch aus).  Spalte A füllt sich nicht automatisch aus.</v>
      </c>
      <c r="B50" s="118" t="s">
        <v>1433</v>
      </c>
    </row>
    <row r="51" spans="1:2" ht="30">
      <c r="A51" s="125" t="str">
        <f ca="1">OFFSET(L!$C$1,MATCH("Instructions"&amp;ADDRESS(ROW(),COLUMN(),4),L!$A:$A,0)-1,SL,,)</f>
        <v>2.  Metall ( * ) - Verwenden Sie das Pull-down-Menü, um das Metall auszuwählen,  für welches Sie Informationen über den Schmelzer eingeben. Dies ist ein Pflichteingabefeld.</v>
      </c>
      <c r="B51" s="118" t="s">
        <v>1434</v>
      </c>
    </row>
    <row r="52" spans="1:2" ht="75">
      <c r="A52" s="125" t="str">
        <f ca="1">OFFSET(L!$C$1,MATCH("Instructions"&amp;ADDRESS(ROW(),COLUMN(),4),L!$A:$A,0)-1,SL,,)</f>
        <v>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v>
      </c>
      <c r="B52" s="118"/>
    </row>
    <row r="53" spans="1:2" ht="45">
      <c r="A53" s="189" t="str">
        <f ca="1">OFFSET(L!$C$1,MATCH("Instructions"&amp;ADDRESS(ROW(),COLUMN(),4),L!$A:$A,0)-1,SL,,)</f>
        <v>4. Schmelzer Name ( 1 ) - Füllen Sie den Namen des Schmelzers in Spalte C ein, wenn Sie  "Schmelzer nicht aufgelistet" ausgewählt haben.  Dieses Feld wird automatisch ausgefüllt, wenn ein Schmelzer in Spalte C ausgewählt wurde. Dies ist ein Pflichteingabefeld.</v>
      </c>
      <c r="B53" s="118" t="s">
        <v>1434</v>
      </c>
    </row>
    <row r="54" spans="1:2" ht="60">
      <c r="A54" s="125" t="str">
        <f ca="1">OFFSET(L!$C$1,MATCH("Instructions"&amp;ADDRESS(ROW(),COLUMN(),4),L!$A:$A,0)-1,SL,,)</f>
        <v>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v>
      </c>
      <c r="B54" s="118" t="s">
        <v>1433</v>
      </c>
    </row>
    <row r="55" spans="1:2" ht="75">
      <c r="A55" s="125" t="str">
        <f ca="1">OFFSET(L!$C$1,MATCH("Instructions"&amp;ADDRESS(ROW(),COLUMN(),4),L!$A:$A,0)-1,SL,,)</f>
        <v>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v>
      </c>
      <c r="B55" s="118" t="s">
        <v>1439</v>
      </c>
    </row>
    <row r="56" spans="1:2" ht="60">
      <c r="A56" s="125" t="str">
        <f ca="1">OFFSET(L!$C$1,MATCH("Instructions"&amp;ADDRESS(ROW(),COLUMN(),4),L!$A:$A,0)-1,SL,,)</f>
        <v>7. Quelle der Schmelzer Identifikationsnummer - das ist die Quelle des Schmelzers, welche  in der Spalte F eingegeben wurde. Wenn ein Schmelzofen aus der Drop-down Box in Spalte C ausgewählt wurde, dann wird dieses Feld automatisch aufgefüllt werden.</v>
      </c>
      <c r="B56" s="118" t="s">
        <v>1433</v>
      </c>
    </row>
    <row r="57" spans="1:2" ht="60">
      <c r="A57" s="125" t="str">
        <f ca="1">OFFSET(L!$C$1,MATCH("Instructions"&amp;ADDRESS(ROW(),COLUMN(),4),L!$A:$A,0)-1,SL,,)</f>
        <v>8. Straße des Schmelzofens – Geben Sie den Straßennamen des Schmelzofenstandortes an. Das Ausfüllen dieses Feldes ist freiwillig.</v>
      </c>
      <c r="B57" s="118" t="s">
        <v>1433</v>
      </c>
    </row>
    <row r="58" spans="1:2" ht="60">
      <c r="A58" s="125" t="str">
        <f ca="1">OFFSET(L!$C$1,MATCH("Instructions"&amp;ADDRESS(ROW(),COLUMN(),4),L!$A:$A,0)-1,SL,,)</f>
        <v>9. Ort des Schmelzofens – Geben Sie den Namen des Ortes an, in dem sich der Schmelzofen befindet. Das Ausfüllen dieses Feldes ist freiwillig.</v>
      </c>
      <c r="B58" s="118" t="s">
        <v>1433</v>
      </c>
    </row>
    <row r="59" spans="1:2" ht="30">
      <c r="A59" s="125" t="str">
        <f ca="1">OFFSET(L!$C$1,MATCH("Instructions"&amp;ADDRESS(ROW(),COLUMN(),4),L!$A:$A,0)-1,SL,,)</f>
        <v>10. Standort des Schmelzofens: Ggf. Bundesland/Region/Provinz – Geben Sie das Bundesland oder die Region/Provinz des Schmelzofenstandortes an. Das Ausfüllen dieses Feldes ist freiwillig.</v>
      </c>
      <c r="B59" s="118" t="s">
        <v>1434</v>
      </c>
    </row>
    <row r="60" spans="1:2" ht="198.75" customHeight="1">
      <c r="A60" s="125" t="str">
        <f ca="1">OFFSET(L!$C$1,MATCH("Instructions"&amp;ADDRESS(ROW(),COLUMN(),4),L!$A:$A,0)-1,SL,,)</f>
        <v>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0" s="118" t="s">
        <v>1437</v>
      </c>
    </row>
    <row r="61" spans="1:2" ht="45">
      <c r="A61" s="125" t="str">
        <f ca="1">OFFSET(L!$C$1,MATCH("Instructions"&amp;ADDRESS(ROW(),COLUMN(),4),L!$A:$A,0)-1,SL,,)</f>
        <v>12. Schmelzer Kontakt-E-Mail - Tragen Sie die E-mail Adresse des Ansprechpartners des Schmelzers ein. Zum Beispiel:   John.Smith@SmelterXXX.com.  Lesen Sie bitte die Anweisungen für die Eingabe des Ansprechpartners  vor der Eingabe des Kontakt Namens.</v>
      </c>
      <c r="B61" s="118" t="s">
        <v>1437</v>
      </c>
    </row>
    <row r="62" spans="1:2" ht="105">
      <c r="A62" s="125" t="str">
        <f ca="1">OFFSET(L!$C$1,MATCH("Instructions"&amp;ADDRESS(ROW(),COLUMN(),4),L!$A:$A,0)-1,SL,,)</f>
        <v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v>
      </c>
      <c r="B62" s="118" t="s">
        <v>1433</v>
      </c>
    </row>
    <row r="63" spans="1:2" ht="120">
      <c r="A63" s="125" t="str">
        <f ca="1">OFFSET(L!$C$1,MATCH("Instructions"&amp;ADDRESS(ROW(),COLUMN(),4),L!$A:$A,0)-1,SL,,)</f>
        <v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v>
      </c>
      <c r="B63" s="118" t="s">
        <v>1433</v>
      </c>
    </row>
    <row r="64" spans="1:2" ht="90">
      <c r="A64" s="125" t="str">
        <f ca="1">OFFSET(L!$C$1,MATCH("Instructions"&amp;ADDRESS(ROW(),COLUMN(),4),L!$A:$A,0)-1,SL,,)</f>
        <v>15. Zeigt an, ob der Schmelzofen seine Materialien für seine(n) Schmelzprozess(e) ausschließlich aus Recycling oder Schrott bezieht. Diese Frage ist optional.  Erlaubte Antworten auf diese Frage sind:
- Ja
- Nein
- Unbekannt</v>
      </c>
      <c r="B64" s="118"/>
    </row>
    <row r="65" spans="1:2" ht="30">
      <c r="A65" s="125" t="str">
        <f ca="1">OFFSET(L!$C$1,MATCH("Instructions"&amp;ADDRESS(ROW(),COLUMN(),4),L!$A:$A,0)-1,SL,,)</f>
        <v xml:space="preserve">16. Anmerkungen - geben Sie Ihre Anmerkungen zu den Schmelzhütten in das Textfeld ein. Beispiel: Smelter is being acquired by Company YYY </v>
      </c>
      <c r="B65" s="118"/>
    </row>
    <row r="66" spans="1:2" ht="110.25" customHeight="1">
      <c r="A66" s="125"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66" s="118"/>
    </row>
    <row r="67" spans="1:2" s="28" customFormat="1" ht="15">
      <c r="A67" s="130"/>
      <c r="B67" s="118"/>
    </row>
    <row r="68" spans="1:2" s="28" customFormat="1" ht="153" customHeight="1">
      <c r="A68" s="128"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v>
      </c>
      <c r="B68" s="118"/>
    </row>
    <row r="69" spans="1:2" s="28" customFormat="1" ht="15">
      <c r="A69" s="130"/>
      <c r="B69" s="118"/>
    </row>
    <row r="70" spans="1:2" ht="75">
      <c r="A70" s="128"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0" s="118" t="s">
        <v>1434</v>
      </c>
    </row>
    <row r="71" spans="1:2" ht="165">
      <c r="A71" s="125"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1" s="118" t="s">
        <v>1440</v>
      </c>
    </row>
    <row r="72" spans="1:2" ht="90">
      <c r="A72" s="125"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2" s="118" t="s">
        <v>1438</v>
      </c>
    </row>
    <row r="73" spans="1:2" ht="75">
      <c r="A73" s="125" t="str">
        <f ca="1">OFFSET(L!$C$1,MATCH("Instructions"&amp;ADDRESS(ROW(),COLUMN(),4),L!$A:$A,0)-1,SL,,)</f>
        <v xml:space="preserve">Beim Bearbeiten und der Benutzung der Liste oder eines jeglichen Werkzeuges und der Beachtung dessen, stimmt der Anwender dem vorhergehenden zu.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3" activePane="bottomLeft" state="frozen"/>
      <selection pane="bottomLeft" activeCell="B31" sqref="B31:C31"/>
    </sheetView>
  </sheetViews>
  <sheetFormatPr baseColWidth="10"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Posten</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Zinn, Tantal, Wolfram, gold</v>
      </c>
      <c r="D3" s="375"/>
      <c r="E3" s="132" t="s">
        <v>1442</v>
      </c>
    </row>
    <row r="4" spans="1:5" ht="63.75" customHeight="1">
      <c r="A4" s="90"/>
      <c r="B4" s="77" t="str">
        <f ca="1">OFFSET(L!$C$1,MATCH("Definitions"&amp;ADDRESS(ROW(),COLUMN(),4),L!$A:$A,0)-1,SL,,)</f>
        <v>Bevollmächtigter</v>
      </c>
      <c r="C4" s="77"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75"/>
      <c r="E4" s="132"/>
    </row>
    <row r="5" spans="1:5" ht="120">
      <c r="A5" s="90"/>
      <c r="B5" s="77" t="str">
        <f ca="1">OFFSET(L!$C$1,MATCH("Definitions"&amp;ADDRESS(ROW(),COLUMN(),4),L!$A:$A,0)-1,SL,,)</f>
        <v>Konfliktmineral</v>
      </c>
      <c r="C5" s="77"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5" s="375"/>
      <c r="E5" s="132" t="s">
        <v>1443</v>
      </c>
    </row>
    <row r="6" spans="1:5" ht="75">
      <c r="A6" s="90"/>
      <c r="B6" s="77" t="str">
        <f ca="1">OFFSET(L!$C$1,MATCH("Definitions"&amp;ADDRESS(ROW(),COLUMN(),4),L!$A:$A,0)-1,SL,,)</f>
        <v>umfassendes Land(er)</v>
      </c>
      <c r="C6" s="77"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6" s="375"/>
      <c r="E6" s="132" t="s">
        <v>1443</v>
      </c>
    </row>
    <row r="7" spans="1:5" ht="135">
      <c r="A7" s="90"/>
      <c r="B7" s="77" t="str">
        <f ca="1">OFFSET(L!$C$1,MATCH("Definitions"&amp;ADDRESS(ROW(),COLUMN(),4),L!$A:$A,0)-1,SL,,)</f>
        <v>Erklärung Anwendungsbereich oder Klasse</v>
      </c>
      <c r="C7" s="77"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75"/>
      <c r="E7" s="132" t="s">
        <v>1446</v>
      </c>
    </row>
    <row r="8" spans="1:5" ht="60">
      <c r="A8" s="90"/>
      <c r="B8" s="77" t="str">
        <f ca="1">OFFSET(L!$C$1,MATCH("Definitions"&amp;ADDRESS(ROW(),COLUMN(),4),L!$A:$A,0)-1,SL,,)</f>
        <v>Dodd-Frank</v>
      </c>
      <c r="C8" s="77" t="str">
        <f ca="1">OFFSET(L!$C$1,MATCH("Definitions"&amp;ADDRESS(ROW(),COLUMN(),4),L!$A:$A,0)-1,SL,,)</f>
        <v>2010 US Gesetzgebung, Dodd-Frank-Walls Street Reform and Consumer Protection Art, Section 1502 ("Dodd-Frank") (http://www.sec.gov/about/laws/wallstreetreform-cpa.pdf)</v>
      </c>
      <c r="D8" s="375"/>
      <c r="E8" s="132" t="s">
        <v>1443</v>
      </c>
    </row>
    <row r="9" spans="1:5" ht="45">
      <c r="A9" s="90"/>
      <c r="B9" s="77" t="str">
        <f ca="1">OFFSET(L!$C$1,MATCH("Definitions"&amp;ADDRESS(ROW(),COLUMN(),4),L!$A:$A,0)-1,SL,,)</f>
        <v>DRK</v>
      </c>
      <c r="C9" s="77" t="str">
        <f ca="1">OFFSET(L!$C$1,MATCH("Definitions"&amp;ADDRESS(ROW(),COLUMN(),4),L!$A:$A,0)-1,SL,,)</f>
        <v>Demokratische Republik Kongo</v>
      </c>
      <c r="D9" s="375"/>
      <c r="E9" s="132" t="s">
        <v>1442</v>
      </c>
    </row>
    <row r="10" spans="1:5" ht="75">
      <c r="A10" s="90"/>
      <c r="B10" s="77" t="str">
        <f ca="1">OFFSET(L!$C$1,MATCH("Definitions"&amp;ADDRESS(ROW(),COLUMN(),4),L!$A:$A,0)-1,SL,,)</f>
        <v>DRK Konflikt-Frei</v>
      </c>
      <c r="C10" s="77"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0" s="375"/>
      <c r="E10" s="132" t="s">
        <v>1442</v>
      </c>
    </row>
    <row r="11" spans="1:5" ht="75">
      <c r="A11" s="90"/>
      <c r="B11" s="77" t="str">
        <f ca="1">OFFSET(L!$C$1,MATCH("Definitions"&amp;ADDRESS(ROW(),COLUMN(),4),L!$A:$A,0)-1,SL,,)</f>
        <v>Gold (Au) Raffinerie (Schmelzhutte)</v>
      </c>
      <c r="C11" s="77"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1" s="375"/>
      <c r="E11" s="132" t="s">
        <v>1442</v>
      </c>
    </row>
    <row r="12" spans="1:5" ht="107.25" customHeight="1">
      <c r="A12" s="90"/>
      <c r="B12" s="77" t="str">
        <f ca="1">OFFSET(L!$C$1,MATCH("Definitions"&amp;ADDRESS(ROW(),COLUMN(),4),L!$A:$A,0)-1,SL,,)</f>
        <v>Unabhängige Private Wirtschaftsprüfungsgesellschaft</v>
      </c>
      <c r="C12" s="77" t="str">
        <f ca="1">OFFSET(L!$C$1,MATCH("Definitions"&amp;ADDRESS(ROW(),COLUMN(),4),L!$A:$A,0)-1,SL,,)</f>
        <v>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2" s="375"/>
      <c r="E12" s="132" t="s">
        <v>1444</v>
      </c>
    </row>
    <row r="13" spans="1:5" ht="303.75" customHeight="1">
      <c r="A13" s="90"/>
      <c r="B13" s="77" t="str">
        <f ca="1">OFFSET(L!$C$1,MATCH("Definitions"&amp;ADDRESS(ROW(),COLUMN(),4),L!$A:$A,0)-1,SL,,)</f>
        <v>Absichtlich hinzugefügt</v>
      </c>
      <c r="C13" s="77"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3" s="375"/>
      <c r="E13" s="132" t="s">
        <v>1442</v>
      </c>
    </row>
    <row r="14" spans="1:5" ht="150">
      <c r="A14" s="90"/>
      <c r="B14" s="77" t="str">
        <f ca="1">OFFSET(L!$C$1,MATCH("Definitions"&amp;ADDRESS(ROW(),COLUMN(),4),L!$A:$A,0)-1,SL,,)</f>
        <v>IPC</v>
      </c>
      <c r="C14" s="77"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4" s="375"/>
      <c r="E14" s="132" t="s">
        <v>1442</v>
      </c>
    </row>
    <row r="15" spans="1:5" ht="75">
      <c r="A15" s="90"/>
      <c r="B15" s="77" t="str">
        <f ca="1">OFFSET(L!$C$1,MATCH("Definitions"&amp;ADDRESS(ROW(),COLUMN(),4),L!$A:$A,0)-1,SL,,)</f>
        <v>IPC-1755 Conflict Minerals Data Exchange Standard</v>
      </c>
      <c r="C15" s="77"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5" s="375"/>
      <c r="E15" s="132" t="s">
        <v>1442</v>
      </c>
    </row>
    <row r="16" spans="1:5" ht="255">
      <c r="A16" s="90"/>
      <c r="B16" s="77" t="str">
        <f ca="1">OFFSET(L!$C$1,MATCH("Definitions"&amp;ADDRESS(ROW(),COLUMN(),4),L!$A:$A,0)-1,SL,,)</f>
        <v>Erforderlich für die Funktionalität des Produkts</v>
      </c>
      <c r="C16" s="77"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6" s="375"/>
      <c r="E16" s="132" t="s">
        <v>1442</v>
      </c>
    </row>
    <row r="17" spans="1:5" ht="165">
      <c r="A17" s="90"/>
      <c r="B17" s="77" t="str">
        <f ca="1">OFFSET(L!$C$1,MATCH("Definitions"&amp;ADDRESS(ROW(),COLUMN(),4),L!$A:$A,0)-1,SL,,)</f>
        <v>Erforderlich für die Herstellung eines Produkt</v>
      </c>
      <c r="C17" s="77"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7" s="375"/>
      <c r="E17" s="132" t="s">
        <v>1442</v>
      </c>
    </row>
    <row r="18" spans="1:5" ht="15">
      <c r="A18" s="90"/>
      <c r="B18" s="77" t="str">
        <f ca="1">OFFSET(L!$C$1,MATCH("Definitions"&amp;ADDRESS(ROW(),COLUMN(),4),L!$A:$A,0)-1,SL,,)</f>
        <v>OECD</v>
      </c>
      <c r="C18" s="77" t="str">
        <f ca="1">OFFSET(L!$C$1,MATCH("Definitions"&amp;ADDRESS(ROW(),COLUMN(),4),L!$A:$A,0)-1,SL,,)</f>
        <v>Organisation für wirtschaftliche Zusammenarbeit und Entwicklung</v>
      </c>
      <c r="D18" s="375"/>
      <c r="E18" s="132"/>
    </row>
    <row r="19" spans="1:5" ht="45">
      <c r="A19" s="90"/>
      <c r="B19" s="77" t="str">
        <f ca="1">OFFSET(L!$C$1,MATCH("Definitions"&amp;ADDRESS(ROW(),COLUMN(),4),L!$A:$A,0)-1,SL,,)</f>
        <v>Produkt</v>
      </c>
      <c r="C19" s="77"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Recycling oder Schrott Quellen</v>
      </c>
      <c r="C21" s="77"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1" s="375"/>
      <c r="E21" s="132"/>
    </row>
    <row r="22" spans="1:5" ht="60">
      <c r="A22" s="90"/>
      <c r="B22" s="77" t="str">
        <f ca="1">OFFSET(L!$C$1,MATCH("Definitions"&amp;ADDRESS(ROW(),COLUMN(),4),L!$A:$A,0)-1,SL,,)</f>
        <v>Responsible Minerals Assurance Process (RMAP)</v>
      </c>
      <c r="C22" s="77"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3" s="375"/>
      <c r="E23" s="132"/>
    </row>
    <row r="24" spans="1:5" ht="165">
      <c r="A24" s="90"/>
      <c r="B24" s="77" t="str">
        <f ca="1">OFFSET(L!$C$1,MATCH("Definitions"&amp;ADDRESS(ROW(),COLUMN(),4),L!$A:$A,0)-1,SL,,)</f>
        <v>RMAP Compliant Smelter Liste</v>
      </c>
      <c r="C24" s="77"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90">
      <c r="A26" s="90"/>
      <c r="B26" s="77" t="str">
        <f ca="1">OFFSET(L!$C$1,MATCH("Definitions"&amp;ADDRESS(ROW(),COLUMN(),4),L!$A:$A,0)-1,SL,,)</f>
        <v>Schmelzhütte</v>
      </c>
      <c r="C26" s="77"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75"/>
      <c r="E26" s="132" t="s">
        <v>1442</v>
      </c>
    </row>
    <row r="27" spans="1:5" ht="60">
      <c r="A27" s="90"/>
      <c r="B27" s="77" t="str">
        <f ca="1">OFFSET(L!$C$1,MATCH("Definitions"&amp;ADDRESS(ROW(),COLUMN(),4),L!$A:$A,0)-1,SL,,)</f>
        <v>Schmelzhütte Id-Nummer</v>
      </c>
      <c r="C27" s="77"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75"/>
      <c r="E27" s="132" t="s">
        <v>1443</v>
      </c>
    </row>
    <row r="28" spans="1:5" ht="108" customHeight="1">
      <c r="A28" s="90"/>
      <c r="B28" s="77" t="str">
        <f ca="1">OFFSET(L!$C$1,MATCH("Definitions"&amp;ADDRESS(ROW(),COLUMN(),4),L!$A:$A,0)-1,SL,,)</f>
        <v>Tantal (Ta) Schmelzhütte</v>
      </c>
      <c r="C28" s="77" t="str">
        <f ca="1">OFFSET(L!$C$1,MATCH("Definitions"&amp;ADDRESS(ROW(),COLUMN(),4),L!$A:$A,0)-1,SL,,)</f>
        <v>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8" s="375"/>
      <c r="E28" s="132" t="s">
        <v>1444</v>
      </c>
    </row>
    <row r="29" spans="1:5" ht="121.5" customHeight="1">
      <c r="A29" s="90"/>
      <c r="B29" s="77" t="str">
        <f ca="1">OFFSET(L!$C$1,MATCH("Definitions"&amp;ADDRESS(ROW(),COLUMN(),4),L!$A:$A,0)-1,SL,,)</f>
        <v>Zinn (Sn) Schmelzhütte</v>
      </c>
      <c r="C29" s="77"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v>
      </c>
      <c r="D29" s="375"/>
      <c r="E29" s="132" t="s">
        <v>1445</v>
      </c>
    </row>
    <row r="30" spans="1:5" ht="122.25" customHeight="1">
      <c r="A30" s="90"/>
      <c r="B30" s="77" t="str">
        <f ca="1">OFFSET(L!$C$1,MATCH("Definitions"&amp;ADDRESS(ROW(),COLUMN(),4),L!$A:$A,0)-1,SL,,)</f>
        <v>Wolfram (W) Schmelzhütte</v>
      </c>
      <c r="C30" s="77"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G63" sqref="G63:J6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2" t="str">
        <f ca="1">OFFSET(L!$C$1,MATCH("Declaration"&amp;ADDRESS(ROW(),COLUMN(),4),L!$A:$A,0)-1,SL,,)</f>
        <v>Conflict Minerals Reporting Template (CMRT)</v>
      </c>
      <c r="E2" s="413"/>
      <c r="F2" s="413"/>
      <c r="G2" s="413"/>
      <c r="H2" s="413"/>
      <c r="I2" s="413"/>
      <c r="J2" s="414"/>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608</v>
      </c>
      <c r="E3" s="12"/>
      <c r="F3" s="425"/>
      <c r="G3" s="425"/>
      <c r="H3" s="425"/>
      <c r="I3" s="186"/>
      <c r="J3" s="172" t="s">
        <v>15472</v>
      </c>
      <c r="K3" s="47"/>
      <c r="L3" s="143"/>
      <c r="M3" s="134"/>
      <c r="N3" s="134"/>
      <c r="O3" s="135"/>
      <c r="P3" s="148">
        <f>MATCH($D$3,LN,0)</f>
        <v>7</v>
      </c>
    </row>
    <row r="4" spans="1:34" ht="15.75">
      <c r="A4" s="45"/>
      <c r="B4" s="421" t="str">
        <f ca="1">OFFSET(L!$C$1,MATCH("Declaration"&amp;ADDRESS(ROW(),COLUMN(),4),L!$A:$A,0)-1,SL,,)</f>
        <v>Der Zweck dieses Dokuments ist die Erfassung von Beschaffungsinformationen für Zinn, Tantal, Wolfram und Gold, welche in Produkten genutzt werden.</v>
      </c>
      <c r="C4" s="421"/>
      <c r="D4" s="421"/>
      <c r="E4" s="421"/>
      <c r="F4" s="421"/>
      <c r="G4" s="421"/>
      <c r="H4" s="421"/>
      <c r="I4" s="426" t="str">
        <f ca="1">OFFSET(L!$C$1,MATCH("Declaration"&amp;ADDRESS(ROW(),COLUMN(),4),L!$A:$A,0)-1,SL,,)</f>
        <v>Link zu den Bedingungen</v>
      </c>
      <c r="J4" s="426"/>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1" t="str">
        <f ca="1">OFFSET(L!$C$1,MATCH("Declaration"&amp;ADDRESS(ROW(),COLUMN(),4),L!$A:$A,0)-1,SL,,)</f>
        <v>Pflichtfelder sind mit einem Sternchen (*) gekennzeichnet.  Im Tab „Instruktionen“ finden Sie eine Anleitung zur Beantwortung aller Fragen.</v>
      </c>
      <c r="C6" s="421"/>
      <c r="D6" s="421"/>
      <c r="E6" s="421"/>
      <c r="F6" s="421"/>
      <c r="G6" s="421"/>
      <c r="H6" s="421"/>
      <c r="I6" s="421"/>
      <c r="J6" s="421"/>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30" t="str">
        <f ca="1">OFFSET(L!$C$1,MATCH("Declaration"&amp;ADDRESS(ROW(),COLUMN(),4),L!$A:$A,0)-1,SL,,)</f>
        <v>Firmenangaben</v>
      </c>
      <c r="C7" s="430"/>
      <c r="D7" s="430"/>
      <c r="E7" s="430"/>
      <c r="F7" s="430"/>
      <c r="G7" s="430"/>
      <c r="H7" s="430"/>
      <c r="I7" s="430"/>
      <c r="J7" s="430"/>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Firmenname (*):</v>
      </c>
      <c r="C8" s="92"/>
      <c r="D8" s="415" t="s">
        <v>15510</v>
      </c>
      <c r="E8" s="416"/>
      <c r="F8" s="416"/>
      <c r="G8" s="416"/>
      <c r="H8" s="416"/>
      <c r="I8" s="416"/>
      <c r="J8" s="417"/>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Geltungsbereich der Erklärung (*):</v>
      </c>
      <c r="C9" s="92"/>
      <c r="D9" s="427" t="s">
        <v>564</v>
      </c>
      <c r="E9" s="428"/>
      <c r="F9" s="428"/>
      <c r="G9" s="429"/>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31" t="str">
        <f ca="1">OFFSET(L!$C$1,MATCH("Declaration"&amp;ADDRESS(ROW(),COLUMN(),4)&amp;LEFT($D$9,1),L!$A:$A,0)-1,SL,,)</f>
        <v>Beschreibung des Geltungsbereichs</v>
      </c>
      <c r="C10" s="155"/>
      <c r="D10" s="422"/>
      <c r="E10" s="423"/>
      <c r="F10" s="423"/>
      <c r="G10" s="423"/>
      <c r="H10" s="423"/>
      <c r="I10" s="423"/>
      <c r="J10" s="424"/>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32"/>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Eindeutige Unternehmenskennung:</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Zuständige Stelle im Unternehmen:</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Adresse:</v>
      </c>
      <c r="C14" s="93"/>
      <c r="D14" s="418" t="s">
        <v>15511</v>
      </c>
      <c r="E14" s="419"/>
      <c r="F14" s="419"/>
      <c r="G14" s="419"/>
      <c r="H14" s="419"/>
      <c r="I14" s="419"/>
      <c r="J14" s="420"/>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Name des Ansprechpartners (*):</v>
      </c>
      <c r="C15" s="93"/>
      <c r="D15" s="418" t="s">
        <v>15512</v>
      </c>
      <c r="E15" s="419"/>
      <c r="F15" s="419"/>
      <c r="G15" s="419"/>
      <c r="H15" s="419"/>
      <c r="I15" s="419"/>
      <c r="J15" s="420"/>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E-Mail-Adresse des Ansprechpartners (*):</v>
      </c>
      <c r="C16" s="93"/>
      <c r="D16" s="433" t="s">
        <v>15513</v>
      </c>
      <c r="E16" s="434"/>
      <c r="F16" s="434"/>
      <c r="G16" s="434"/>
      <c r="H16" s="434"/>
      <c r="I16" s="434"/>
      <c r="J16" s="435"/>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Telefonnummer des Ansprechpartners (*):</v>
      </c>
      <c r="C17" s="93"/>
      <c r="D17" s="418" t="s">
        <v>15514</v>
      </c>
      <c r="E17" s="419"/>
      <c r="F17" s="419"/>
      <c r="G17" s="419"/>
      <c r="H17" s="419"/>
      <c r="I17" s="419"/>
      <c r="J17" s="420"/>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15" customHeight="1">
      <c r="A18" s="49"/>
      <c r="B18" s="51" t="str">
        <f ca="1">OFFSET(L!$C$1,MATCH("Declaration"&amp;ADDRESS(ROW(),COLUMN(),4),L!$A:$A,0)-1,SL,,)</f>
        <v>Bevollmächtigter (*):</v>
      </c>
      <c r="C18" s="93"/>
      <c r="D18" s="418" t="s">
        <v>15515</v>
      </c>
      <c r="E18" s="419"/>
      <c r="F18" s="419"/>
      <c r="G18" s="419"/>
      <c r="H18" s="419"/>
      <c r="I18" s="419"/>
      <c r="J18" s="420"/>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Titel des Bevollmächtigten:</v>
      </c>
      <c r="C19" s="93"/>
      <c r="D19" s="386" t="s">
        <v>15516</v>
      </c>
      <c r="E19" s="404"/>
      <c r="F19" s="404"/>
      <c r="G19" s="404"/>
      <c r="H19" s="404"/>
      <c r="I19" s="404"/>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E-Mail-Adresse des Bevollmächtigten (*):</v>
      </c>
      <c r="C20" s="93"/>
      <c r="D20" s="433" t="s">
        <v>15517</v>
      </c>
      <c r="E20" s="436"/>
      <c r="F20" s="436"/>
      <c r="G20" s="436"/>
      <c r="H20" s="436"/>
      <c r="I20" s="436"/>
      <c r="J20" s="437"/>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Telefonnummer des Bevollmächtigten (*):</v>
      </c>
      <c r="C21" s="167"/>
      <c r="D21" s="418" t="s">
        <v>15518</v>
      </c>
      <c r="E21" s="419"/>
      <c r="F21" s="419"/>
      <c r="G21" s="419"/>
      <c r="H21" s="419"/>
      <c r="I21" s="419"/>
      <c r="J21" s="420"/>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Datum (*):</v>
      </c>
      <c r="C22" s="94"/>
      <c r="D22" s="438">
        <v>44077</v>
      </c>
      <c r="E22" s="43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5"/>
      <c r="E23" s="405"/>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40" t="str">
        <f ca="1">OFFSET(L!$C$1,MATCH("Declaration"&amp;ADDRESS(ROW(),COLUMN(),4),L!$A:$A,0)-1,SL,,)</f>
        <v>Beantworten Sie die Fragen 1 - 7 entsprechend dem oben angegebenen Geltungsbereich</v>
      </c>
      <c r="C24" s="440"/>
      <c r="D24" s="440"/>
      <c r="E24" s="440"/>
      <c r="F24" s="440"/>
      <c r="G24" s="440"/>
      <c r="H24" s="440"/>
      <c r="I24" s="440"/>
      <c r="J24" s="44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Wird absichtlich ein 3TG-Mineral im Herstellungsprozess verwendet oder in das/die Produkt(e) aufgenommen? (*)</v>
      </c>
      <c r="C25" s="20"/>
      <c r="D25" s="391" t="str">
        <f ca="1">OFFSET(L!$C$1,MATCH("Declaration"&amp;ADDRESS(ROW(),COLUMN(),4),L!$A:$A,0)-1,SL,,)</f>
        <v>Antwort</v>
      </c>
      <c r="E25" s="391"/>
      <c r="F25" s="21"/>
      <c r="G25" s="55" t="str">
        <f ca="1">OFFSET(L!$C$1,MATCH("Declaration"&amp;ADDRESS(ROW(),COLUMN(),4),L!$A:$A,0)-1,SL,,)</f>
        <v>Kommentare</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  (*)</v>
      </c>
      <c r="C26" s="46"/>
      <c r="D26" s="377" t="s">
        <v>558</v>
      </c>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Zinn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Wolfram  (*)</v>
      </c>
      <c r="C29" s="46"/>
      <c r="D29" s="377" t="s">
        <v>558</v>
      </c>
      <c r="E29" s="378"/>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Liegen in dem/den Produkt(en) 3TG-Rückstände vor?  (*)</v>
      </c>
      <c r="C31" s="13"/>
      <c r="D31" s="397" t="str">
        <f ca="1">D25</f>
        <v>Antwort</v>
      </c>
      <c r="E31" s="397"/>
      <c r="F31" s="21"/>
      <c r="G31" s="55" t="str">
        <f ca="1">G25</f>
        <v>Kommentare</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  (*)</v>
      </c>
      <c r="C32" s="13"/>
      <c r="D32" s="377" t="s">
        <v>558</v>
      </c>
      <c r="E32" s="378"/>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Zinn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Wolfram  (*)</v>
      </c>
      <c r="C35" s="13"/>
      <c r="D35" s="377" t="s">
        <v>558</v>
      </c>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Beschaffen Schmelzöfen in Ihrer Lieferkette das 3TG-Mineral aus den umfassten Ländern? (SEC-Begriff, siehe Definitions-Tab) (*)</v>
      </c>
      <c r="C37" s="13"/>
      <c r="D37" s="397" t="str">
        <f ca="1">D25</f>
        <v>Antwort</v>
      </c>
      <c r="E37" s="397"/>
      <c r="F37" s="21"/>
      <c r="G37" s="55" t="str">
        <f ca="1">G25</f>
        <v>Kommentare</v>
      </c>
      <c r="H37" s="400"/>
      <c r="I37" s="400"/>
      <c r="J37" s="400"/>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15" customHeight="1">
      <c r="A38" s="52"/>
      <c r="B38" s="51" t="str">
        <f ca="1">OFFSET(L!$C$1,MATCH("Declaration"&amp;ADDRESS(ROW(),COLUMN(),4),L!$A:$A,0)-1,SL,,)&amp;P38</f>
        <v>Tantal  (*)</v>
      </c>
      <c r="C38" s="13"/>
      <c r="D38" s="377" t="s">
        <v>558</v>
      </c>
      <c r="E38" s="378"/>
      <c r="F38" s="58"/>
      <c r="G38" s="379" t="s">
        <v>15524</v>
      </c>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Zinn  (*)</v>
      </c>
      <c r="C39" s="13"/>
      <c r="D39" s="377" t="s">
        <v>558</v>
      </c>
      <c r="E39" s="378"/>
      <c r="F39" s="58"/>
      <c r="G39" s="379" t="s">
        <v>15520</v>
      </c>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560</v>
      </c>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Wolfram  (*)</v>
      </c>
      <c r="C41" s="13"/>
      <c r="D41" s="377" t="s">
        <v>558</v>
      </c>
      <c r="E41" s="378"/>
      <c r="F41" s="58"/>
      <c r="G41" s="379" t="s">
        <v>15525</v>
      </c>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Stammt das für die Funktionalität oder  Herstellung Ihrer Produkte benötigte 3TG-Mineral zu 100 % aus Recycling- oder Schrottquellen?  (*)</v>
      </c>
      <c r="C43" s="13"/>
      <c r="D43" s="397" t="str">
        <f ca="1">D25</f>
        <v>Antwort</v>
      </c>
      <c r="E43" s="397"/>
      <c r="F43" s="21"/>
      <c r="G43" s="55" t="str">
        <f ca="1">G25</f>
        <v>Kommentare</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  (*)</v>
      </c>
      <c r="C44" s="13"/>
      <c r="D44" s="377" t="s">
        <v>559</v>
      </c>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Zinn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559</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Wolfram  (*)</v>
      </c>
      <c r="C47" s="13"/>
      <c r="D47" s="377" t="s">
        <v>559</v>
      </c>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Wie hoch ist der Prozentsatz an Lieferanten, die auf Ihre Lieferkettenumfrage geantwortet haben? (*)</v>
      </c>
      <c r="C49" s="13"/>
      <c r="D49" s="397" t="str">
        <f ca="1">D25</f>
        <v>Antwort</v>
      </c>
      <c r="E49" s="397"/>
      <c r="F49" s="21"/>
      <c r="G49" s="55" t="str">
        <f ca="1">G25</f>
        <v>Kommentare</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  (*)</v>
      </c>
      <c r="C50" s="46"/>
      <c r="D50" s="398">
        <v>1</v>
      </c>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Zinn  (*)</v>
      </c>
      <c r="C51" s="46"/>
      <c r="D51" s="398">
        <v>1</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8">
        <v>1</v>
      </c>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Wolfram  (*)</v>
      </c>
      <c r="C53" s="46"/>
      <c r="D53" s="398">
        <v>1</v>
      </c>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Haben Sie alle Schmelzhütten ermittelt, die das 3TG-Mineral für Ihre Lieferkette bereitstellen?  (*)</v>
      </c>
      <c r="C55" s="13"/>
      <c r="D55" s="397" t="str">
        <f ca="1">D25</f>
        <v>Antwort</v>
      </c>
      <c r="E55" s="397"/>
      <c r="F55" s="21"/>
      <c r="G55" s="55" t="str">
        <f ca="1">G25</f>
        <v>Kommentare</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  (*)</v>
      </c>
      <c r="C56" s="13"/>
      <c r="D56" s="395" t="s">
        <v>559</v>
      </c>
      <c r="E56" s="396"/>
      <c r="F56" s="58"/>
      <c r="G56" s="379" t="s">
        <v>15521</v>
      </c>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Zinn  (*)</v>
      </c>
      <c r="C57" s="13"/>
      <c r="D57" s="377" t="s">
        <v>559</v>
      </c>
      <c r="E57" s="378"/>
      <c r="F57" s="58"/>
      <c r="G57" s="379" t="s">
        <v>15522</v>
      </c>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559</v>
      </c>
      <c r="E58" s="378"/>
      <c r="F58" s="58"/>
      <c r="G58" s="379" t="s">
        <v>15523</v>
      </c>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Wolfram  (*)</v>
      </c>
      <c r="C59" s="13"/>
      <c r="D59" s="377" t="s">
        <v>559</v>
      </c>
      <c r="E59" s="378"/>
      <c r="F59" s="58"/>
      <c r="G59" s="379" t="s">
        <v>15521</v>
      </c>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Haben Sie alle relevanten Informationen, die Ihr Unternehmen zu den Schmelzhütten erhalten hat, in dieser Erklärung aufgeführt?  (*)</v>
      </c>
      <c r="C61" s="13"/>
      <c r="D61" s="397" t="str">
        <f ca="1">D25</f>
        <v>Antwort</v>
      </c>
      <c r="E61" s="397"/>
      <c r="F61" s="21"/>
      <c r="G61" s="55" t="str">
        <f ca="1">G25</f>
        <v>Kommentare</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  (*)</v>
      </c>
      <c r="C62" s="46"/>
      <c r="D62" s="377" t="s">
        <v>558</v>
      </c>
      <c r="E62" s="378"/>
      <c r="F62" s="59"/>
      <c r="G62" s="379" t="s">
        <v>15526</v>
      </c>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ustomHeight="1">
      <c r="A63" s="52"/>
      <c r="B63" s="51" t="str">
        <f ca="1">B39</f>
        <v>Zinn  (*)</v>
      </c>
      <c r="C63" s="46"/>
      <c r="D63" s="377" t="s">
        <v>558</v>
      </c>
      <c r="E63" s="378"/>
      <c r="F63" s="59"/>
      <c r="G63" s="379" t="s">
        <v>15526</v>
      </c>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ustomHeight="1">
      <c r="A64" s="52"/>
      <c r="B64" s="51" t="str">
        <f ca="1">B40</f>
        <v>Gold  (*)</v>
      </c>
      <c r="C64" s="46"/>
      <c r="D64" s="377" t="s">
        <v>558</v>
      </c>
      <c r="E64" s="378"/>
      <c r="F64" s="59"/>
      <c r="G64" s="379" t="s">
        <v>15526</v>
      </c>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ustomHeight="1">
      <c r="A65" s="49"/>
      <c r="B65" s="51" t="str">
        <f ca="1">B41</f>
        <v>Wolfram  (*)</v>
      </c>
      <c r="C65" s="60"/>
      <c r="D65" s="377" t="s">
        <v>558</v>
      </c>
      <c r="E65" s="378"/>
      <c r="F65" s="61"/>
      <c r="G65" s="379" t="s">
        <v>15526</v>
      </c>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Beantworten Sie folgende Fragen auf Firmenebene</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Frage</v>
      </c>
      <c r="C68" s="97"/>
      <c r="D68" s="391" t="str">
        <f ca="1">D25</f>
        <v>Antwort</v>
      </c>
      <c r="E68" s="391"/>
      <c r="F68" s="64"/>
      <c r="G68" s="391" t="str">
        <f ca="1">G25</f>
        <v>Kommentare</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Haben Sie eine Beschaffungsrichtlinie für Konfliktmineralien aufgestellt?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Ist Ihre Richtlinie zur Beschaffung von Konfliktmineralien öffentlich auf ihrer Website verfügbar? (Hinweis: Wenn "Ja" geben Sie die URL im Feld "Kommentar" an.) (*)</v>
      </c>
      <c r="C71" s="68"/>
      <c r="D71" s="377" t="s">
        <v>559</v>
      </c>
      <c r="E71" s="378"/>
      <c r="F71" s="68"/>
      <c r="G71" s="406"/>
      <c r="H71" s="407"/>
      <c r="I71" s="407"/>
      <c r="J71" s="408"/>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Verlangen Sie von Ihren direkten Lieferanten, "DRC-konfliktfrei" zu sein?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Verlangen Sie von Ihren direkten Lieferanten, das 3TG-Mineral ausschließlich von Schmelzhütten zu beziehen, deren Due-Diligence-Praktiken von einer unabhängigen Instanz überprüft wurden? (*)</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Haben Sie angemesse Prüfmaßnahmen für konfliktfreie Beschaffung eingeführt?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Veranstaltet Ihr Unternehmen (eine) Konfliktmineralienumfrage(n) mit seinen entsprechenden Lieferanten? (*)</v>
      </c>
      <c r="C79" s="68"/>
      <c r="D79" s="386" t="s">
        <v>13268</v>
      </c>
      <c r="E79" s="387"/>
      <c r="F79" s="68"/>
      <c r="G79" s="379" t="s">
        <v>15519</v>
      </c>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Überprüfen Sie die Due-Diligence-Informationen, die Sie von ihren Lieferanten erhalten, anhand der Erwartungen Ihres Unternehmens? (*)</v>
      </c>
      <c r="C81" s="68"/>
      <c r="D81" s="377" t="s">
        <v>559</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Sieht Ihr Review-Prozess ein Korrekturmaßnahmen-Management vor? (*)</v>
      </c>
      <c r="C83" s="68"/>
      <c r="D83" s="377" t="s">
        <v>559</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1.5">
      <c r="A85" s="52"/>
      <c r="B85" s="67" t="str">
        <f ca="1">OFFSET(L!$C$1,MATCH("Declaration"&amp;ADDRESS(ROW(),COLUMN(),4),L!$A:$A,0)-1,SL,,)&amp;$Q$37</f>
        <v>I. Ist Ihr Unternehmen zu einer jährlichen Offenlegung der Konfliktmineralien gegenüber der SEC verpflichtet? (*)</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8" priority="69" stopIfTrue="1">
      <formula>AND(OR($D$26="No",AND($D$26="Yes",$D$32="No")),OR($D$27="No",AND($D$27="Yes",$D$33="No")), OR($D$28="No",AND($D$28="Yes",$D$34="No")), OR($D$29="No",AND($D$29="Yes",$D$35="No")))</formula>
    </cfRule>
    <cfRule type="expression" dxfId="77" priority="70" stopIfTrue="1">
      <formula>IF(D69="",TRUE)</formula>
    </cfRule>
  </conditionalFormatting>
  <conditionalFormatting sqref="G71:J71">
    <cfRule type="expression" dxfId="76" priority="41" stopIfTrue="1">
      <formula>IF(AND($D$71="Yes",$G$71=""),TRUE)</formula>
    </cfRule>
  </conditionalFormatting>
  <conditionalFormatting sqref="D26:E26">
    <cfRule type="expression" dxfId="75" priority="121" stopIfTrue="1">
      <formula>IF($D$26="",TRUE)</formula>
    </cfRule>
  </conditionalFormatting>
  <conditionalFormatting sqref="D9:G9">
    <cfRule type="expression" dxfId="74" priority="136" stopIfTrue="1">
      <formula>IF($D$9="",TRUE)</formula>
    </cfRule>
  </conditionalFormatting>
  <conditionalFormatting sqref="D22:E22">
    <cfRule type="expression" dxfId="73" priority="143" stopIfTrue="1">
      <formula>IF($D$22="",TRUE)</formula>
    </cfRule>
  </conditionalFormatting>
  <conditionalFormatting sqref="D10:J10">
    <cfRule type="expression" dxfId="72" priority="40" stopIfTrue="1">
      <formula>IF($D$9=$Q$9,TRUE)</formula>
    </cfRule>
    <cfRule type="expression" dxfId="71" priority="150" stopIfTrue="1">
      <formula>IF(AND($D$10="",$D$9=$R$9),TRUE)</formula>
    </cfRule>
  </conditionalFormatting>
  <conditionalFormatting sqref="D52:E52 D58:E58 D64:E64">
    <cfRule type="expression" dxfId="70" priority="33" stopIfTrue="1">
      <formula>$P$28=""</formula>
    </cfRule>
  </conditionalFormatting>
  <conditionalFormatting sqref="D53:E53 D59:E59 D65:E65">
    <cfRule type="expression" dxfId="69" priority="148" stopIfTrue="1">
      <formula>$P$29=""</formula>
    </cfRule>
  </conditionalFormatting>
  <conditionalFormatting sqref="D44 D50 D56 D62">
    <cfRule type="expression" dxfId="68" priority="35" stopIfTrue="1">
      <formula>$P$32=""</formula>
    </cfRule>
  </conditionalFormatting>
  <conditionalFormatting sqref="D51 D57 D63">
    <cfRule type="expression" dxfId="67" priority="34" stopIfTrue="1">
      <formula>$P$33=""</formula>
    </cfRule>
  </conditionalFormatting>
  <conditionalFormatting sqref="D52 D58 D64">
    <cfRule type="expression" dxfId="66" priority="24" stopIfTrue="1">
      <formula>$P$34=""</formula>
    </cfRule>
    <cfRule type="expression" dxfId="65" priority="146" stopIfTrue="1">
      <formula>IF(AND(OR($D$28="Yes",$D$28=""),D52=""),1,0)</formula>
    </cfRule>
  </conditionalFormatting>
  <conditionalFormatting sqref="D53 D59 D65">
    <cfRule type="expression" dxfId="64" priority="32" stopIfTrue="1">
      <formula>$P$35=""</formula>
    </cfRule>
  </conditionalFormatting>
  <conditionalFormatting sqref="D44:E44 D50:E50 D56:E56 D62:E62">
    <cfRule type="expression" dxfId="63" priority="37" stopIfTrue="1">
      <formula>$P$26=""</formula>
    </cfRule>
    <cfRule type="expression" dxfId="62" priority="38" stopIfTrue="1">
      <formula>IF(AND(OR($D$26="Yes",$D$26=""),D44=""),1,0)</formula>
    </cfRule>
  </conditionalFormatting>
  <conditionalFormatting sqref="D51:E51 D57:E57 D63:E63">
    <cfRule type="expression" dxfId="61" priority="144" stopIfTrue="1">
      <formula>$P$39=""</formula>
    </cfRule>
    <cfRule type="expression" dxfId="60" priority="145" stopIfTrue="1">
      <formula>IF(AND(OR($D$27="Yes",$D$27=""),D51=""),1,0)</formula>
    </cfRule>
  </conditionalFormatting>
  <conditionalFormatting sqref="D53:E53 D59:E59 D65:E65">
    <cfRule type="expression" dxfId="59" priority="149" stopIfTrue="1">
      <formula>IF(AND(OR($D$29="Yes",$D$29=""),D53=""),1,0)</formula>
    </cfRule>
  </conditionalFormatting>
  <conditionalFormatting sqref="D8:J8">
    <cfRule type="expression" dxfId="58" priority="18" stopIfTrue="1">
      <formula>IF($D$8="",TRUE)</formula>
    </cfRule>
  </conditionalFormatting>
  <conditionalFormatting sqref="D15:J15">
    <cfRule type="expression" dxfId="57" priority="17" stopIfTrue="1">
      <formula>IF($D$15="",TRUE)</formula>
    </cfRule>
  </conditionalFormatting>
  <conditionalFormatting sqref="D16:J16">
    <cfRule type="expression" dxfId="56" priority="16" stopIfTrue="1">
      <formula>IF($D$16="",TRUE)</formula>
    </cfRule>
  </conditionalFormatting>
  <conditionalFormatting sqref="D17:J17">
    <cfRule type="expression" dxfId="55" priority="14" stopIfTrue="1">
      <formula>IF($D$17="",TRUE)</formula>
    </cfRule>
  </conditionalFormatting>
  <conditionalFormatting sqref="D18:J18">
    <cfRule type="expression" dxfId="54" priority="13" stopIfTrue="1">
      <formula>IF($D$18="",TRUE)</formula>
    </cfRule>
  </conditionalFormatting>
  <conditionalFormatting sqref="D20:J20">
    <cfRule type="expression" dxfId="53" priority="12" stopIfTrue="1">
      <formula>IF($D$20="",TRUE)</formula>
    </cfRule>
  </conditionalFormatting>
  <conditionalFormatting sqref="D21:J21">
    <cfRule type="expression" dxfId="52" priority="11" stopIfTrue="1">
      <formula>IF($D$21="",TRUE)</formula>
    </cfRule>
  </conditionalFormatting>
  <conditionalFormatting sqref="G79:J79">
    <cfRule type="expression" dxfId="51" priority="10" stopIfTrue="1">
      <formula>IF(AND($D$79="Yes, using other format (describe)",$G$79=""),TRUE)</formula>
    </cfRule>
  </conditionalFormatting>
  <conditionalFormatting sqref="D27:E29">
    <cfRule type="expression" dxfId="50" priority="9" stopIfTrue="1">
      <formula>IF($D$26="",TRUE)</formula>
    </cfRule>
  </conditionalFormatting>
  <conditionalFormatting sqref="D32:E32">
    <cfRule type="expression" dxfId="49" priority="8" stopIfTrue="1">
      <formula>IF($D$26="",TRUE)</formula>
    </cfRule>
  </conditionalFormatting>
  <conditionalFormatting sqref="D33:E34">
    <cfRule type="expression" dxfId="48" priority="7" stopIfTrue="1">
      <formula>IF($D$26="",TRUE)</formula>
    </cfRule>
  </conditionalFormatting>
  <conditionalFormatting sqref="D35:E35">
    <cfRule type="expression" dxfId="47" priority="6" stopIfTrue="1">
      <formula>IF($D$26="",TRUE)</formula>
    </cfRule>
  </conditionalFormatting>
  <conditionalFormatting sqref="D38:E41">
    <cfRule type="expression" dxfId="46" priority="5" stopIfTrue="1">
      <formula>IF($D$26="",TRUE)</formula>
    </cfRule>
  </conditionalFormatting>
  <conditionalFormatting sqref="D45:D47">
    <cfRule type="expression" dxfId="45" priority="1" stopIfTrue="1">
      <formula>$P$32=""</formula>
    </cfRule>
  </conditionalFormatting>
  <conditionalFormatting sqref="D45:E47">
    <cfRule type="expression" dxfId="44" priority="2" stopIfTrue="1">
      <formula>$P$26=""</formula>
    </cfRule>
    <cfRule type="expression" dxfId="43" priority="3" stopIfTrue="1">
      <formula>IF(AND(OR($D$26="Yes",$D$26=""),D45=""),1,0)</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70" zoomScaleNormal="70" zoomScalePageLayoutView="55" workbookViewId="0">
      <selection activeCell="H250" sqref="H250"/>
    </sheetView>
  </sheetViews>
  <sheetFormatPr baseColWidth="10"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UM ZU BEGINNEN:</v>
      </c>
      <c r="C2" s="205"/>
      <c r="D2" s="205"/>
      <c r="E2" s="205"/>
      <c r="F2" s="230"/>
      <c r="G2" s="230"/>
      <c r="H2" s="230"/>
      <c r="I2" s="231"/>
      <c r="J2" s="441" t="str">
        <f ca="1">OFFSET(L!$C$1,MATCH("Smelter List"&amp;ADDRESS(ROW(),COLUMN(),4),L!$A:$A,0)-1,SL,,)</f>
        <v>Link zur "RMAP Compliant Smelter"- Liste</v>
      </c>
      <c r="K2" s="442"/>
      <c r="L2" s="442"/>
      <c r="M2" s="442"/>
      <c r="N2" s="442"/>
      <c r="O2" s="442"/>
      <c r="P2" s="232"/>
      <c r="Q2" s="233"/>
      <c r="R2" s="234"/>
      <c r="S2" s="234"/>
      <c r="T2" s="234"/>
      <c r="U2" s="261"/>
      <c r="V2" s="261"/>
      <c r="W2" s="262"/>
      <c r="X2" s="261"/>
      <c r="Y2" s="261"/>
      <c r="Z2" s="261"/>
      <c r="AH2" s="178" t="s">
        <v>558</v>
      </c>
    </row>
    <row r="3" spans="1:34" s="263" customFormat="1" ht="255.6" customHeight="1">
      <c r="A3" s="204"/>
      <c r="B3" s="443"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3"/>
      <c r="D3" s="443"/>
      <c r="E3" s="443"/>
      <c r="F3" s="264"/>
      <c r="G3" s="444" t="str">
        <f ca="1">OFFSET(L!$C$1,MATCH("General"&amp;"Cpy",L!$A:$A,0)-1,SL,,)</f>
        <v>© 2019 Responsible Minerals Initiative. All rights reserved.</v>
      </c>
      <c r="H3" s="444"/>
      <c r="I3" s="445"/>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 xml:space="preserve">Eingabespalte Schmelzofenidentifizierungsnummer </v>
      </c>
      <c r="B4" s="255" t="str">
        <f ca="1">OFFSET(L!$C$1,MATCH("Smelter List"&amp;ADDRESS(ROW(),COLUMN(),4),L!$A:$A,0)-1,SL,,)</f>
        <v>Metall (1)</v>
      </c>
      <c r="C4" s="255" t="str">
        <f ca="1">OFFSET(L!$C$1,MATCH("Smelter List"&amp;ADDRESS(ROW(),COLUMN(),4),L!$A:$A,0)-1,SL,,)</f>
        <v>Schmelzofensuche (*)</v>
      </c>
      <c r="D4" s="255" t="str">
        <f ca="1">OFFSET(L!$C$1,MATCH("Smelter List"&amp;ADDRESS(ROW(),COLUMN(),4),L!$A:$A,0)-1,SL,,)</f>
        <v>Schmelzofenname (1)</v>
      </c>
      <c r="E4" s="255" t="str">
        <f ca="1">OFFSET(L!$C$1,MATCH("Smelter List"&amp;ADDRESS(ROW(),COLUMN(),4),L!$A:$A,0)-1,SL,,)</f>
        <v>Schmelzhütten: Land (*)</v>
      </c>
      <c r="F4" s="255" t="str">
        <f ca="1">OFFSET(L!$C$1,MATCH("Smelter List"&amp;ADDRESS(ROW(),COLUMN(),4),L!$A:$A,0)-1,SL,,)</f>
        <v>Schmelzhütte Identifizierung</v>
      </c>
      <c r="G4" s="255" t="str">
        <f ca="1">OFFSET(L!$C$1,MATCH("Smelter List"&amp;ADDRESS(ROW(),COLUMN(),4),L!$A:$A,0)-1,SL,,)</f>
        <v>Quelle der Schmelzhütte Id-Nummer</v>
      </c>
      <c r="H4" s="177" t="str">
        <f ca="1">OFFSET(L!$C$1,MATCH("Smelter List"&amp;ADDRESS(ROW(),COLUMN(),4),L!$A:$A,0)-1,SL,,)</f>
        <v>Schmelzhütten: Straße</v>
      </c>
      <c r="I4" s="177" t="str">
        <f ca="1">OFFSET(L!$C$1,MATCH("Smelter List"&amp;ADDRESS(ROW(),COLUMN(),4),L!$A:$A,0)-1,SL,,)</f>
        <v>Schmelzhütten: Stadt</v>
      </c>
      <c r="J4" s="177" t="str">
        <f ca="1">OFFSET(L!$C$1,MATCH("Smelter List"&amp;ADDRESS(ROW(),COLUMN(),4),L!$A:$A,0)-1,SL,,)</f>
        <v>Schmelzhütten: Bundesland/Provinz</v>
      </c>
      <c r="K4" s="177" t="str">
        <f ca="1">OFFSET(L!$C$1,MATCH("Smelter List"&amp;ADDRESS(ROW(),COLUMN(),4),L!$A:$A,0)-1,SL,,)</f>
        <v xml:space="preserve">Schmelzhütten-Ansprechpartner: Name </v>
      </c>
      <c r="L4" s="177" t="str">
        <f ca="1">OFFSET(L!$C$1,MATCH("Smelter List"&amp;ADDRESS(ROW(),COLUMN(),4),L!$A:$A,0)-1,SL,,)</f>
        <v>Schmelzhütten-Ansprechpartner: E-mail</v>
      </c>
      <c r="M4" s="177" t="str">
        <f ca="1">OFFSET(L!$C$1,MATCH("Smelter List"&amp;ADDRESS(ROW(),COLUMN(),4),L!$A:$A,0)-1,SL,,)</f>
        <v>Vorgeschlagenen nächsten Schritte</v>
      </c>
      <c r="N4" s="177" t="str">
        <f ca="1">OFFSET(L!$C$1,MATCH("Smelter List"&amp;ADDRESS(ROW(),COLUMN(),4),L!$A:$A,0)-1,SL,,)</f>
        <v>Name der Mine(n) oder falls aus Recycling oder Schrott, tragen Sie "recycled" oder "Schrott" ein</v>
      </c>
      <c r="O4" s="177" t="str">
        <f ca="1">OFFSET(L!$C$1,MATCH("Smelter List"&amp;ADDRESS(ROW(),COLUMN(),4),L!$A:$A,0)-1,SL,,)</f>
        <v>Standort (Land) von Minen, falls aus Recycling oder Schrott gekauft, geben Sie "recycled" oder "Schrott" ein</v>
      </c>
      <c r="P4" s="177" t="str">
        <f ca="1">OFFSET(L!$C$1,MATCH("Smelter List"&amp;ADDRESS(ROW(),COLUMN(),4),L!$A:$A,0)-1,SL,,)</f>
        <v>Stammen 100% der Ausgangsstoffe der Schmelzhütte aus Recycling oder Schrott?</v>
      </c>
      <c r="Q4" s="178" t="str">
        <f ca="1">OFFSET(L!$C$1,MATCH("Smelter List"&amp;ADDRESS(ROW(),COLUMN(),4),L!$A:$A,0)-1,SL,,)</f>
        <v>Kommentare</v>
      </c>
      <c r="R4" s="255" t="s">
        <v>13306</v>
      </c>
      <c r="S4" s="255" t="s">
        <v>13282</v>
      </c>
      <c r="T4" s="255" t="s">
        <v>13283</v>
      </c>
      <c r="U4" s="237"/>
      <c r="V4" s="192"/>
      <c r="W4" s="192" t="s">
        <v>1454</v>
      </c>
      <c r="X4" s="192" t="s">
        <v>1058</v>
      </c>
      <c r="Y4" s="192"/>
      <c r="Z4" s="192"/>
      <c r="AH4" s="178" t="s">
        <v>560</v>
      </c>
    </row>
    <row r="5" spans="1:34" s="271" customFormat="1" ht="20.100000000000001" customHeight="1">
      <c r="R5" s="216" t="str">
        <f ca="1">IF(ISERROR($V5),"",OFFSET('Smelter Look-up'!$C$4,$V5-4,0)&amp;"")</f>
        <v>Unknown</v>
      </c>
      <c r="S5" s="224" t="str">
        <f ca="1">IF(B268="","",IF(ISERROR(MATCH($E268,CL,0)),"Unknown",INDIRECT("'C'!$A$"&amp;MATCH($E268,CL,0)+1)))</f>
        <v>Unknown</v>
      </c>
      <c r="T5" s="224" t="str">
        <f ca="1">IF(B268="","",IF(ISERROR(MATCH($J268,SorP!$B$1:$B$6230,0)),"",INDIRECT("'SorP'!$A$"&amp;MATCH($J268,SorP!$B$1:$B$6230,0))))</f>
        <v/>
      </c>
      <c r="U5" s="239"/>
      <c r="V5" s="269">
        <f>IF(C268="",NA(),MATCH($B268&amp;$C268,'Smelter Look-up'!$J:$J,0))</f>
        <v>285</v>
      </c>
      <c r="W5" s="270"/>
      <c r="X5" s="270">
        <f>IF(AND(C268="Smelter not listed",OR(LEN(D268)=0,LEN(E268)=0)),1,0)</f>
        <v>0</v>
      </c>
      <c r="Y5" s="270"/>
      <c r="Z5" s="270"/>
      <c r="AB5" s="272" t="str">
        <f>B268&amp;C268</f>
        <v>GoldSmelter not yet identified</v>
      </c>
    </row>
    <row r="6" spans="1:34" s="271" customFormat="1" ht="20.100000000000001" customHeight="1">
      <c r="R6" s="216" t="str">
        <f ca="1">IF(ISERROR($V6),"",OFFSET('Smelter Look-up'!$C$4,$V6-4,0)&amp;"")</f>
        <v/>
      </c>
      <c r="S6" s="224" t="str">
        <f ca="1">IF(B269="","",IF(ISERROR(MATCH($E269,CL,0)),"Unknown",INDIRECT("'C'!$A$"&amp;MATCH($E269,CL,0)+1)))</f>
        <v>CH</v>
      </c>
      <c r="T6" s="224" t="str">
        <f ca="1">IF(B269="","",IF(ISERROR(MATCH($J269,SorP!$B$1:$B$6230,0)),"",INDIRECT("'SorP'!$A$"&amp;MATCH($J269,SorP!$B$1:$B$6230,0))))</f>
        <v/>
      </c>
      <c r="U6" s="239"/>
      <c r="V6" s="269">
        <f>IF(C269="",NA(),MATCH($B269&amp;$C269,'Smelter Look-up'!$J:$J,0))</f>
        <v>514</v>
      </c>
      <c r="W6" s="270"/>
      <c r="X6" s="270">
        <f>IF(AND(C269="Smelter not listed",OR(LEN(D269)=0,LEN(E269)=0)),1,0)</f>
        <v>0</v>
      </c>
      <c r="Y6" s="270"/>
      <c r="Z6" s="270"/>
      <c r="AB6" s="272" t="str">
        <f>B269&amp;C269</f>
        <v>TinSmelter not listed</v>
      </c>
    </row>
    <row r="7" spans="1:34" s="271" customFormat="1" ht="20.100000000000001" customHeight="1">
      <c r="A7" s="215" t="s">
        <v>900</v>
      </c>
      <c r="B7" s="216" t="s">
        <v>1253</v>
      </c>
      <c r="C7" s="220" t="s">
        <v>15437</v>
      </c>
      <c r="D7" s="216"/>
      <c r="E7" s="216" t="s">
        <v>1228</v>
      </c>
      <c r="F7" s="216" t="s">
        <v>900</v>
      </c>
      <c r="G7" s="216" t="s">
        <v>14357</v>
      </c>
      <c r="H7" s="217">
        <v>0</v>
      </c>
      <c r="I7" s="218" t="s">
        <v>2539</v>
      </c>
      <c r="J7" s="218" t="s">
        <v>2540</v>
      </c>
      <c r="K7" s="267"/>
      <c r="L7" s="267"/>
      <c r="M7" s="267"/>
      <c r="N7" s="267"/>
      <c r="O7" s="267"/>
      <c r="P7" s="219"/>
      <c r="Q7" s="268"/>
      <c r="R7" s="216" t="str">
        <f ca="1">IF(ISERROR($V7),"",OFFSET('Smelter Look-up'!$C$4,$V7-4,0)&amp;"")</f>
        <v>A.L.M.T. Corp.</v>
      </c>
      <c r="S7" s="224" t="str">
        <f t="shared" ref="S7:S68" ca="1" si="0">IF(B7="","",IF(ISERROR(MATCH($E7,CL,0)),"Unknown",INDIRECT("'C'!$A$"&amp;MATCH($E7,CL,0)+1)))</f>
        <v>JP</v>
      </c>
      <c r="T7" s="224" t="str">
        <f ca="1">IF(B7="","",IF(ISERROR(MATCH($J7,SorP!$B$1:$B$6230,0)),"",INDIRECT("'SorP'!$A$"&amp;MATCH($J7,SorP!$B$1:$B$6230,0))))</f>
        <v>JP-16</v>
      </c>
      <c r="U7" s="239"/>
      <c r="V7" s="269">
        <f>IF(C7="",NA(),MATCH($B7&amp;$C7,'Smelter Look-up'!$J:$J,0))</f>
        <v>516</v>
      </c>
      <c r="W7" s="270"/>
      <c r="X7" s="270">
        <f t="shared" ref="X7:X68" si="1">IF(AND(C7="Smelter not listed",OR(LEN(D7)=0,LEN(E7)=0)),1,0)</f>
        <v>0</v>
      </c>
      <c r="Y7" s="270"/>
      <c r="Z7" s="270"/>
      <c r="AB7" s="272" t="str">
        <f t="shared" ref="AB7:AB68" si="2">B7&amp;C7</f>
        <v>TungstenA.L.M.T. Corp.</v>
      </c>
    </row>
    <row r="8" spans="1:34" s="271" customFormat="1" ht="29.25" customHeight="1">
      <c r="A8" s="215" t="s">
        <v>1524</v>
      </c>
      <c r="B8" s="216" t="s">
        <v>1250</v>
      </c>
      <c r="C8" s="220" t="s">
        <v>1523</v>
      </c>
      <c r="D8" s="216"/>
      <c r="E8" s="216" t="s">
        <v>3092</v>
      </c>
      <c r="F8" s="216" t="s">
        <v>1524</v>
      </c>
      <c r="G8" s="216" t="s">
        <v>14357</v>
      </c>
      <c r="H8" s="217">
        <v>0</v>
      </c>
      <c r="I8" s="218" t="s">
        <v>1775</v>
      </c>
      <c r="J8" s="218" t="s">
        <v>1776</v>
      </c>
      <c r="K8" s="267"/>
      <c r="L8" s="267"/>
      <c r="M8" s="267"/>
      <c r="N8" s="267"/>
      <c r="O8" s="267"/>
      <c r="P8" s="219"/>
      <c r="Q8" s="268"/>
      <c r="R8" s="216" t="str">
        <f ca="1">IF(ISERROR($V8),"",OFFSET('Smelter Look-up'!$C$4,$V8-4,0)&amp;"")</f>
        <v>Advanced Chemical Company</v>
      </c>
      <c r="S8" s="224" t="str">
        <f t="shared" ca="1" si="0"/>
        <v>US</v>
      </c>
      <c r="T8" s="224" t="str">
        <f ca="1">IF(B8="","",IF(ISERROR(MATCH($J8,SorP!$B$1:$B$6230,0)),"",INDIRECT("'SorP'!$A$"&amp;MATCH($J8,SorP!$B$1:$B$6230,0))))</f>
        <v>US-RI</v>
      </c>
      <c r="U8" s="239"/>
      <c r="V8" s="269">
        <f>IF(C8="",NA(),MATCH($B8&amp;$C8,'Smelter Look-up'!$J:$J,0))</f>
        <v>7</v>
      </c>
      <c r="W8" s="270"/>
      <c r="X8" s="270">
        <f t="shared" si="1"/>
        <v>0</v>
      </c>
      <c r="Y8" s="270"/>
      <c r="Z8" s="270"/>
      <c r="AB8" s="272" t="str">
        <f t="shared" si="2"/>
        <v>GoldAdvanced Chemical Company</v>
      </c>
    </row>
    <row r="9" spans="1:34" s="271" customFormat="1" ht="20.100000000000001" customHeight="1">
      <c r="A9" s="215" t="s">
        <v>741</v>
      </c>
      <c r="B9" s="216" t="s">
        <v>1250</v>
      </c>
      <c r="C9" s="220" t="s">
        <v>2548</v>
      </c>
      <c r="D9" s="216"/>
      <c r="E9" s="216" t="s">
        <v>1228</v>
      </c>
      <c r="F9" s="216" t="s">
        <v>741</v>
      </c>
      <c r="G9" s="216" t="s">
        <v>14357</v>
      </c>
      <c r="H9" s="217">
        <v>0</v>
      </c>
      <c r="I9" s="218" t="s">
        <v>1777</v>
      </c>
      <c r="J9" s="218" t="s">
        <v>1778</v>
      </c>
      <c r="K9" s="267"/>
      <c r="L9" s="267"/>
      <c r="M9" s="267"/>
      <c r="N9" s="267"/>
      <c r="O9" s="267"/>
      <c r="P9" s="219"/>
      <c r="Q9" s="268"/>
      <c r="R9" s="216" t="str">
        <f ca="1">IF(ISERROR($V9),"",OFFSET('Smelter Look-up'!$C$4,$V9-4,0)&amp;"")</f>
        <v>Aida Chemical Industries Co., Ltd.</v>
      </c>
      <c r="S9" s="224" t="str">
        <f t="shared" ca="1" si="0"/>
        <v>JP</v>
      </c>
      <c r="T9" s="224" t="str">
        <f ca="1">IF(B9="","",IF(ISERROR(MATCH($J9,SorP!$B$1:$B$6230,0)),"",INDIRECT("'SorP'!$A$"&amp;MATCH($J9,SorP!$B$1:$B$6230,0))))</f>
        <v>JP-13</v>
      </c>
      <c r="U9" s="239"/>
      <c r="V9" s="269">
        <f>IF(C9="",NA(),MATCH($B9&amp;$C9,'Smelter Look-up'!$J:$J,0))</f>
        <v>11</v>
      </c>
      <c r="W9" s="270"/>
      <c r="X9" s="270">
        <f t="shared" si="1"/>
        <v>0</v>
      </c>
      <c r="Y9" s="270"/>
      <c r="Z9" s="270"/>
      <c r="AB9" s="272" t="str">
        <f t="shared" si="2"/>
        <v>GoldAida Chemical Industries Co., Ltd.</v>
      </c>
    </row>
    <row r="10" spans="1:34" s="271" customFormat="1" ht="20.100000000000001" customHeight="1">
      <c r="A10" s="215" t="s">
        <v>742</v>
      </c>
      <c r="B10" s="216" t="s">
        <v>1250</v>
      </c>
      <c r="C10" s="220" t="s">
        <v>56</v>
      </c>
      <c r="D10" s="216"/>
      <c r="E10" s="216" t="s">
        <v>1221</v>
      </c>
      <c r="F10" s="216" t="s">
        <v>742</v>
      </c>
      <c r="G10" s="216" t="s">
        <v>14357</v>
      </c>
      <c r="H10" s="217">
        <v>0</v>
      </c>
      <c r="I10" s="218" t="s">
        <v>1779</v>
      </c>
      <c r="J10" s="218" t="s">
        <v>1780</v>
      </c>
      <c r="K10" s="267"/>
      <c r="L10" s="267"/>
      <c r="M10" s="267"/>
      <c r="N10" s="267"/>
      <c r="O10" s="267"/>
      <c r="P10" s="219"/>
      <c r="Q10" s="268"/>
      <c r="R10" s="216" t="str">
        <f ca="1">IF(ISERROR($V10),"",OFFSET('Smelter Look-up'!$C$4,$V10-4,0)&amp;"")</f>
        <v>Allgemeine Gold-und Silberscheideanstalt A.G.</v>
      </c>
      <c r="S10" s="224" t="str">
        <f t="shared" ca="1" si="0"/>
        <v>DE</v>
      </c>
      <c r="T10" s="224" t="str">
        <f ca="1">IF(B10="","",IF(ISERROR(MATCH($J10,SorP!$B$1:$B$6230,0)),"",INDIRECT("'SorP'!$A$"&amp;MATCH($J10,SorP!$B$1:$B$6230,0))))</f>
        <v>DE-BW</v>
      </c>
      <c r="U10" s="239"/>
      <c r="V10" s="269">
        <f>IF(C10="",NA(),MATCH($B10&amp;$C10,'Smelter Look-up'!$J:$J,0))</f>
        <v>14</v>
      </c>
      <c r="W10" s="270"/>
      <c r="X10" s="270">
        <f t="shared" si="1"/>
        <v>0</v>
      </c>
      <c r="Y10" s="270"/>
      <c r="Z10" s="270"/>
      <c r="AB10" s="272" t="str">
        <f t="shared" si="2"/>
        <v>GoldAllgemeine Gold-und Silberscheideanstalt A.G.</v>
      </c>
    </row>
    <row r="11" spans="1:34" s="271" customFormat="1" ht="20.100000000000001" customHeight="1">
      <c r="A11" s="215" t="s">
        <v>743</v>
      </c>
      <c r="B11" s="216" t="s">
        <v>1250</v>
      </c>
      <c r="C11" s="220" t="s">
        <v>713</v>
      </c>
      <c r="D11" s="216"/>
      <c r="E11" s="216" t="s">
        <v>1007</v>
      </c>
      <c r="F11" s="216" t="s">
        <v>743</v>
      </c>
      <c r="G11" s="216" t="s">
        <v>14357</v>
      </c>
      <c r="H11" s="217">
        <v>0</v>
      </c>
      <c r="I11" s="218" t="s">
        <v>1781</v>
      </c>
      <c r="J11" s="218" t="s">
        <v>12886</v>
      </c>
      <c r="K11" s="267"/>
      <c r="L11" s="267"/>
      <c r="M11" s="267"/>
      <c r="N11" s="267"/>
      <c r="O11" s="267"/>
      <c r="P11" s="219"/>
      <c r="Q11" s="268"/>
      <c r="R11" s="216" t="str">
        <f ca="1">IF(ISERROR($V11),"",OFFSET('Smelter Look-up'!$C$4,$V11-4,0)&amp;"")</f>
        <v>Almalyk Mining and Metallurgical Complex (AMMC)</v>
      </c>
      <c r="S11" s="224" t="str">
        <f t="shared" ca="1" si="0"/>
        <v>UZ</v>
      </c>
      <c r="T11" s="224" t="str">
        <f ca="1">IF(B11="","",IF(ISERROR(MATCH($J11,SorP!$B$1:$B$6230,0)),"",INDIRECT("'SorP'!$A$"&amp;MATCH($J11,SorP!$B$1:$B$6230,0))))</f>
        <v>UZ-TK</v>
      </c>
      <c r="U11" s="239"/>
      <c r="V11" s="269">
        <f>IF(C11="",NA(),MATCH($B11&amp;$C11,'Smelter Look-up'!$J:$J,0))</f>
        <v>15</v>
      </c>
      <c r="W11" s="270"/>
      <c r="X11" s="270">
        <f t="shared" si="1"/>
        <v>0</v>
      </c>
      <c r="Y11" s="270"/>
      <c r="Z11" s="270"/>
      <c r="AB11" s="272" t="str">
        <f t="shared" si="2"/>
        <v>GoldAlmalyk Mining and Metallurgical Complex (AMMC)</v>
      </c>
    </row>
    <row r="12" spans="1:34" s="271" customFormat="1" ht="26.25" customHeight="1">
      <c r="A12" s="215" t="s">
        <v>744</v>
      </c>
      <c r="B12" s="216" t="s">
        <v>1250</v>
      </c>
      <c r="C12" s="220" t="s">
        <v>13316</v>
      </c>
      <c r="D12" s="216"/>
      <c r="E12" s="216" t="s">
        <v>1216</v>
      </c>
      <c r="F12" s="216" t="s">
        <v>744</v>
      </c>
      <c r="G12" s="216" t="s">
        <v>14357</v>
      </c>
      <c r="H12" s="217">
        <v>0</v>
      </c>
      <c r="I12" s="218" t="s">
        <v>1783</v>
      </c>
      <c r="J12" s="218" t="s">
        <v>1784</v>
      </c>
      <c r="K12" s="267"/>
      <c r="L12" s="267"/>
      <c r="M12" s="267"/>
      <c r="N12" s="267"/>
      <c r="O12" s="267"/>
      <c r="P12" s="219"/>
      <c r="Q12" s="268"/>
      <c r="R12" s="216" t="str">
        <f ca="1">IF(ISERROR($V12),"",OFFSET('Smelter Look-up'!$C$4,$V12-4,0)&amp;"")</f>
        <v>AngloGold Ashanti Corrego do Sitio Mineracao</v>
      </c>
      <c r="S12" s="224" t="str">
        <f t="shared" ca="1" si="0"/>
        <v>BR</v>
      </c>
      <c r="T12" s="224" t="str">
        <f ca="1">IF(B12="","",IF(ISERROR(MATCH($J12,SorP!$B$1:$B$6230,0)),"",INDIRECT("'SorP'!$A$"&amp;MATCH($J12,SorP!$B$1:$B$6230,0))))</f>
        <v>BR-MG</v>
      </c>
      <c r="U12" s="239"/>
      <c r="V12" s="269">
        <f>IF(C12="",NA(),MATCH($B12&amp;$C12,'Smelter Look-up'!$J:$J,0))</f>
        <v>18</v>
      </c>
      <c r="W12" s="270"/>
      <c r="X12" s="270">
        <f t="shared" si="1"/>
        <v>0</v>
      </c>
      <c r="Y12" s="270"/>
      <c r="Z12" s="270"/>
      <c r="AB12" s="272" t="str">
        <f t="shared" si="2"/>
        <v>GoldAngloGold Ashanti Corrego do Sitio Mineracao</v>
      </c>
    </row>
    <row r="13" spans="1:34" s="271" customFormat="1" ht="26.25" customHeight="1">
      <c r="A13" s="215" t="s">
        <v>745</v>
      </c>
      <c r="B13" s="216" t="s">
        <v>1250</v>
      </c>
      <c r="C13" s="220" t="s">
        <v>2906</v>
      </c>
      <c r="D13" s="216"/>
      <c r="E13" s="216" t="s">
        <v>1218</v>
      </c>
      <c r="F13" s="216" t="s">
        <v>745</v>
      </c>
      <c r="G13" s="216" t="s">
        <v>14357</v>
      </c>
      <c r="H13" s="217">
        <v>0</v>
      </c>
      <c r="I13" s="218" t="s">
        <v>1785</v>
      </c>
      <c r="J13" s="218" t="s">
        <v>1786</v>
      </c>
      <c r="K13" s="267"/>
      <c r="L13" s="267"/>
      <c r="M13" s="267"/>
      <c r="N13" s="267"/>
      <c r="O13" s="267"/>
      <c r="P13" s="219"/>
      <c r="Q13" s="268"/>
      <c r="R13" s="216" t="str">
        <f ca="1">IF(ISERROR($V13),"",OFFSET('Smelter Look-up'!$C$4,$V13-4,0)&amp;"")</f>
        <v>Argor-Heraeus S.A.</v>
      </c>
      <c r="S13" s="224" t="str">
        <f t="shared" ca="1" si="0"/>
        <v>CH</v>
      </c>
      <c r="T13" s="224" t="str">
        <f ca="1">IF(B13="","",IF(ISERROR(MATCH($J13,SorP!$B$1:$B$6230,0)),"",INDIRECT("'SorP'!$A$"&amp;MATCH($J13,SorP!$B$1:$B$6230,0))))</f>
        <v>CH-TI</v>
      </c>
      <c r="U13" s="239"/>
      <c r="V13" s="269">
        <f>IF(C13="",NA(),MATCH($B13&amp;$C13,'Smelter Look-up'!$J:$J,0))</f>
        <v>23</v>
      </c>
      <c r="W13" s="270"/>
      <c r="X13" s="270">
        <f t="shared" si="1"/>
        <v>0</v>
      </c>
      <c r="Y13" s="270"/>
      <c r="Z13" s="270"/>
      <c r="AB13" s="272" t="str">
        <f t="shared" si="2"/>
        <v>GoldArgor-Heraeus S.A.</v>
      </c>
    </row>
    <row r="14" spans="1:34" s="271" customFormat="1" ht="26.25" customHeight="1">
      <c r="A14" s="215" t="s">
        <v>746</v>
      </c>
      <c r="B14" s="216" t="s">
        <v>1250</v>
      </c>
      <c r="C14" s="220" t="s">
        <v>2907</v>
      </c>
      <c r="D14" s="216"/>
      <c r="E14" s="216" t="s">
        <v>1228</v>
      </c>
      <c r="F14" s="216" t="s">
        <v>746</v>
      </c>
      <c r="G14" s="216" t="s">
        <v>14357</v>
      </c>
      <c r="H14" s="217">
        <v>0</v>
      </c>
      <c r="I14" s="218" t="s">
        <v>1787</v>
      </c>
      <c r="J14" s="218" t="s">
        <v>1788</v>
      </c>
      <c r="K14" s="267"/>
      <c r="L14" s="267"/>
      <c r="M14" s="267"/>
      <c r="N14" s="267"/>
      <c r="O14" s="267"/>
      <c r="P14" s="219"/>
      <c r="Q14" s="268"/>
      <c r="R14" s="216" t="str">
        <f ca="1">IF(ISERROR($V14),"",OFFSET('Smelter Look-up'!$C$4,$V14-4,0)&amp;"")</f>
        <v>Asahi Pretec Corp.</v>
      </c>
      <c r="S14" s="224" t="str">
        <f t="shared" ca="1" si="0"/>
        <v>JP</v>
      </c>
      <c r="T14" s="224" t="str">
        <f ca="1">IF(B14="","",IF(ISERROR(MATCH($J14,SorP!$B$1:$B$6230,0)),"",INDIRECT("'SorP'!$A$"&amp;MATCH($J14,SorP!$B$1:$B$6230,0))))</f>
        <v>JP-28</v>
      </c>
      <c r="U14" s="239"/>
      <c r="V14" s="269">
        <f>IF(C14="",NA(),MATCH($B14&amp;$C14,'Smelter Look-up'!$J:$J,0))</f>
        <v>24</v>
      </c>
      <c r="W14" s="270"/>
      <c r="X14" s="270">
        <f t="shared" si="1"/>
        <v>0</v>
      </c>
      <c r="Y14" s="270"/>
      <c r="Z14" s="270"/>
      <c r="AB14" s="272" t="str">
        <f t="shared" si="2"/>
        <v>GoldAsahi Pretec Corp.</v>
      </c>
    </row>
    <row r="15" spans="1:34" s="271" customFormat="1" ht="26.25" customHeight="1">
      <c r="A15" s="215" t="s">
        <v>747</v>
      </c>
      <c r="B15" s="216" t="s">
        <v>1250</v>
      </c>
      <c r="C15" s="220" t="s">
        <v>2549</v>
      </c>
      <c r="D15" s="216"/>
      <c r="E15" s="216" t="s">
        <v>1228</v>
      </c>
      <c r="F15" s="216" t="s">
        <v>747</v>
      </c>
      <c r="G15" s="216" t="s">
        <v>14357</v>
      </c>
      <c r="H15" s="217">
        <v>0</v>
      </c>
      <c r="I15" s="218" t="s">
        <v>1790</v>
      </c>
      <c r="J15" s="218" t="s">
        <v>1791</v>
      </c>
      <c r="K15" s="267"/>
      <c r="L15" s="267"/>
      <c r="M15" s="267"/>
      <c r="N15" s="267"/>
      <c r="O15" s="267"/>
      <c r="P15" s="219"/>
      <c r="Q15" s="268"/>
      <c r="R15" s="216" t="str">
        <f ca="1">IF(ISERROR($V15),"",OFFSET('Smelter Look-up'!$C$4,$V15-4,0)&amp;"")</f>
        <v>Asaka Riken Co., Ltd.</v>
      </c>
      <c r="S15" s="224" t="str">
        <f t="shared" ca="1" si="0"/>
        <v>JP</v>
      </c>
      <c r="T15" s="224" t="str">
        <f ca="1">IF(B15="","",IF(ISERROR(MATCH($J15,SorP!$B$1:$B$6230,0)),"",INDIRECT("'SorP'!$A$"&amp;MATCH($J15,SorP!$B$1:$B$6230,0))))</f>
        <v>JP-07</v>
      </c>
      <c r="U15" s="239"/>
      <c r="V15" s="269">
        <f>IF(C15="",NA(),MATCH($B15&amp;$C15,'Smelter Look-up'!$J:$J,0))</f>
        <v>27</v>
      </c>
      <c r="W15" s="270"/>
      <c r="X15" s="270">
        <f t="shared" si="1"/>
        <v>0</v>
      </c>
      <c r="Y15" s="270"/>
      <c r="Z15" s="270"/>
      <c r="AB15" s="272" t="str">
        <f t="shared" si="2"/>
        <v>GoldAsaka Riken Co., Ltd.</v>
      </c>
    </row>
    <row r="16" spans="1:34" s="271" customFormat="1" ht="26.25" customHeight="1">
      <c r="A16" s="215" t="s">
        <v>3218</v>
      </c>
      <c r="B16" s="216" t="s">
        <v>1252</v>
      </c>
      <c r="C16" s="220" t="s">
        <v>2549</v>
      </c>
      <c r="D16" s="216"/>
      <c r="E16" s="216" t="s">
        <v>1228</v>
      </c>
      <c r="F16" s="216" t="s">
        <v>3218</v>
      </c>
      <c r="G16" s="216" t="s">
        <v>14357</v>
      </c>
      <c r="H16" s="217">
        <v>0</v>
      </c>
      <c r="I16" s="218" t="s">
        <v>1790</v>
      </c>
      <c r="J16" s="218" t="s">
        <v>1791</v>
      </c>
      <c r="K16" s="267"/>
      <c r="L16" s="267"/>
      <c r="M16" s="267"/>
      <c r="N16" s="267"/>
      <c r="O16" s="267"/>
      <c r="P16" s="219"/>
      <c r="Q16" s="268"/>
      <c r="R16" s="216" t="str">
        <f ca="1">IF(ISERROR($V16),"",OFFSET('Smelter Look-up'!$C$4,$V16-4,0)&amp;"")</f>
        <v>Asaka Riken Co., Ltd.</v>
      </c>
      <c r="S16" s="224" t="str">
        <f t="shared" ca="1" si="0"/>
        <v>JP</v>
      </c>
      <c r="T16" s="224" t="str">
        <f ca="1">IF(B16="","",IF(ISERROR(MATCH($J16,SorP!$B$1:$B$6230,0)),"",INDIRECT("'SorP'!$A$"&amp;MATCH($J16,SorP!$B$1:$B$6230,0))))</f>
        <v>JP-07</v>
      </c>
      <c r="U16" s="239"/>
      <c r="V16" s="269">
        <f>IF(C16="",NA(),MATCH($B16&amp;$C16,'Smelter Look-up'!$J:$J,0))</f>
        <v>286</v>
      </c>
      <c r="W16" s="270"/>
      <c r="X16" s="270">
        <f t="shared" si="1"/>
        <v>0</v>
      </c>
      <c r="Y16" s="270"/>
      <c r="Z16" s="270"/>
      <c r="AB16" s="272" t="str">
        <f t="shared" si="2"/>
        <v>TantalumAsaka Riken Co., Ltd.</v>
      </c>
    </row>
    <row r="17" spans="1:28" s="271" customFormat="1" ht="26.25" customHeight="1">
      <c r="A17" s="215" t="s">
        <v>901</v>
      </c>
      <c r="B17" s="216" t="s">
        <v>1253</v>
      </c>
      <c r="C17" s="220" t="s">
        <v>158</v>
      </c>
      <c r="D17" s="216"/>
      <c r="E17" s="216" t="s">
        <v>3092</v>
      </c>
      <c r="F17" s="216" t="s">
        <v>901</v>
      </c>
      <c r="G17" s="216" t="s">
        <v>14357</v>
      </c>
      <c r="H17" s="217">
        <v>0</v>
      </c>
      <c r="I17" s="218" t="s">
        <v>2080</v>
      </c>
      <c r="J17" s="218" t="s">
        <v>2081</v>
      </c>
      <c r="K17" s="267"/>
      <c r="L17" s="267"/>
      <c r="M17" s="267"/>
      <c r="N17" s="267"/>
      <c r="O17" s="267"/>
      <c r="P17" s="219"/>
      <c r="Q17" s="268"/>
      <c r="R17" s="216" t="str">
        <f ca="1">IF(ISERROR($V17),"",OFFSET('Smelter Look-up'!$C$4,$V17-4,0)&amp;"")</f>
        <v>Kennametal Huntsville</v>
      </c>
      <c r="S17" s="224" t="str">
        <f t="shared" ca="1" si="0"/>
        <v>US</v>
      </c>
      <c r="T17" s="224" t="str">
        <f ca="1">IF(B17="","",IF(ISERROR(MATCH($J17,SorP!$B$1:$B$6230,0)),"",INDIRECT("'SorP'!$A$"&amp;MATCH($J17,SorP!$B$1:$B$6230,0))))</f>
        <v>US-AL</v>
      </c>
      <c r="U17" s="239"/>
      <c r="V17" s="269">
        <f>IF(C17="",NA(),MATCH($B17&amp;$C17,'Smelter Look-up'!$J:$J,0))</f>
        <v>562</v>
      </c>
      <c r="W17" s="270"/>
      <c r="X17" s="270">
        <f t="shared" si="1"/>
        <v>0</v>
      </c>
      <c r="Y17" s="270"/>
      <c r="Z17" s="270"/>
      <c r="AB17" s="272" t="str">
        <f t="shared" si="2"/>
        <v>TungstenKennametal Huntsville</v>
      </c>
    </row>
    <row r="18" spans="1:28" s="271" customFormat="1" ht="26.25" customHeight="1">
      <c r="A18" s="215" t="s">
        <v>749</v>
      </c>
      <c r="B18" s="216" t="s">
        <v>1250</v>
      </c>
      <c r="C18" s="220" t="s">
        <v>1350</v>
      </c>
      <c r="D18" s="216"/>
      <c r="E18" s="216" t="s">
        <v>1221</v>
      </c>
      <c r="F18" s="216" t="s">
        <v>749</v>
      </c>
      <c r="G18" s="216" t="s">
        <v>14357</v>
      </c>
      <c r="H18" s="217">
        <v>0</v>
      </c>
      <c r="I18" s="218" t="s">
        <v>1793</v>
      </c>
      <c r="J18" s="218" t="s">
        <v>1793</v>
      </c>
      <c r="K18" s="267"/>
      <c r="L18" s="267"/>
      <c r="M18" s="267"/>
      <c r="N18" s="267"/>
      <c r="O18" s="267"/>
      <c r="P18" s="219"/>
      <c r="Q18" s="268"/>
      <c r="R18" s="216" t="str">
        <f ca="1">IF(ISERROR($V18),"",OFFSET('Smelter Look-up'!$C$4,$V18-4,0)&amp;"")</f>
        <v>Aurubis AG</v>
      </c>
      <c r="S18" s="224" t="str">
        <f t="shared" ca="1" si="0"/>
        <v>DE</v>
      </c>
      <c r="T18" s="224" t="str">
        <f ca="1">IF(B18="","",IF(ISERROR(MATCH($J18,SorP!$B$1:$B$6230,0)),"",INDIRECT("'SorP'!$A$"&amp;MATCH($J18,SorP!$B$1:$B$6230,0))))</f>
        <v>DE-HH</v>
      </c>
      <c r="U18" s="239"/>
      <c r="V18" s="269">
        <f>IF(C18="",NA(),MATCH($B18&amp;$C18,'Smelter Look-up'!$J:$J,0))</f>
        <v>31</v>
      </c>
      <c r="W18" s="270"/>
      <c r="X18" s="270">
        <f t="shared" si="1"/>
        <v>0</v>
      </c>
      <c r="Y18" s="270"/>
      <c r="Z18" s="270"/>
      <c r="AB18" s="272" t="str">
        <f t="shared" si="2"/>
        <v>GoldAurubis AG</v>
      </c>
    </row>
    <row r="19" spans="1:28" s="271" customFormat="1" ht="26.25" customHeight="1">
      <c r="A19" s="215" t="s">
        <v>750</v>
      </c>
      <c r="B19" s="216" t="s">
        <v>1250</v>
      </c>
      <c r="C19" s="220" t="s">
        <v>1020</v>
      </c>
      <c r="D19" s="216"/>
      <c r="E19" s="216" t="s">
        <v>997</v>
      </c>
      <c r="F19" s="216" t="s">
        <v>750</v>
      </c>
      <c r="G19" s="216" t="s">
        <v>14357</v>
      </c>
      <c r="H19" s="217">
        <v>0</v>
      </c>
      <c r="I19" s="218" t="s">
        <v>2631</v>
      </c>
      <c r="J19" s="218" t="s">
        <v>10317</v>
      </c>
      <c r="K19" s="267"/>
      <c r="L19" s="267"/>
      <c r="M19" s="267"/>
      <c r="N19" s="267"/>
      <c r="O19" s="267"/>
      <c r="P19" s="219"/>
      <c r="Q19" s="268"/>
      <c r="R19" s="216" t="str">
        <f ca="1">IF(ISERROR($V19),"",OFFSET('Smelter Look-up'!$C$4,$V19-4,0)&amp;"")</f>
        <v>Bangko Sentral ng Pilipinas (Central Bank of the Philippines)</v>
      </c>
      <c r="S19" s="224" t="str">
        <f t="shared" ca="1" si="0"/>
        <v>PH</v>
      </c>
      <c r="T19" s="224" t="str">
        <f ca="1">IF(B19="","",IF(ISERROR(MATCH($J19,SorP!$B$1:$B$6230,0)),"",INDIRECT("'SorP'!$A$"&amp;MATCH($J19,SorP!$B$1:$B$6230,0))))</f>
        <v>PH-RIZ</v>
      </c>
      <c r="U19" s="239"/>
      <c r="V19" s="269">
        <f>IF(C19="",NA(),MATCH($B19&amp;$C19,'Smelter Look-up'!$J:$J,0))</f>
        <v>35</v>
      </c>
      <c r="W19" s="270"/>
      <c r="X19" s="270">
        <f t="shared" si="1"/>
        <v>0</v>
      </c>
      <c r="Y19" s="270"/>
      <c r="Z19" s="270"/>
      <c r="AB19" s="272" t="str">
        <f t="shared" si="2"/>
        <v>GoldBangko Sentral ng Pilipinas (Central Bank of the Philippines)</v>
      </c>
    </row>
    <row r="20" spans="1:28" s="271" customFormat="1" ht="26.25" customHeight="1">
      <c r="A20" s="215" t="s">
        <v>751</v>
      </c>
      <c r="B20" s="216" t="s">
        <v>1250</v>
      </c>
      <c r="C20" s="220" t="s">
        <v>1352</v>
      </c>
      <c r="D20" s="216"/>
      <c r="E20" s="216" t="s">
        <v>1003</v>
      </c>
      <c r="F20" s="216" t="s">
        <v>751</v>
      </c>
      <c r="G20" s="216" t="s">
        <v>14357</v>
      </c>
      <c r="H20" s="217">
        <v>0</v>
      </c>
      <c r="I20" s="218" t="s">
        <v>1795</v>
      </c>
      <c r="J20" s="218" t="s">
        <v>11147</v>
      </c>
      <c r="K20" s="267"/>
      <c r="L20" s="267"/>
      <c r="M20" s="267"/>
      <c r="N20" s="267"/>
      <c r="O20" s="267"/>
      <c r="P20" s="219"/>
      <c r="Q20" s="268"/>
      <c r="R20" s="216" t="str">
        <f ca="1">IF(ISERROR($V20),"",OFFSET('Smelter Look-up'!$C$4,$V20-4,0)&amp;"")</f>
        <v>Boliden AB</v>
      </c>
      <c r="S20" s="224" t="str">
        <f t="shared" ca="1" si="0"/>
        <v>SE</v>
      </c>
      <c r="T20" s="224" t="str">
        <f ca="1">IF(B20="","",IF(ISERROR(MATCH($J20,SorP!$B$1:$B$6230,0)),"",INDIRECT("'SorP'!$A$"&amp;MATCH($J20,SorP!$B$1:$B$6230,0))))</f>
        <v>SE-AC</v>
      </c>
      <c r="U20" s="239"/>
      <c r="V20" s="269">
        <f>IF(C20="",NA(),MATCH($B20&amp;$C20,'Smelter Look-up'!$J:$J,0))</f>
        <v>36</v>
      </c>
      <c r="W20" s="270"/>
      <c r="X20" s="270">
        <f t="shared" si="1"/>
        <v>0</v>
      </c>
      <c r="Y20" s="270"/>
      <c r="Z20" s="270"/>
      <c r="AB20" s="272" t="str">
        <f t="shared" si="2"/>
        <v>GoldBoliden AB</v>
      </c>
    </row>
    <row r="21" spans="1:28" s="271" customFormat="1" ht="26.25" customHeight="1">
      <c r="A21" s="215" t="s">
        <v>753</v>
      </c>
      <c r="B21" s="216" t="s">
        <v>1250</v>
      </c>
      <c r="C21" s="220" t="s">
        <v>752</v>
      </c>
      <c r="D21" s="216"/>
      <c r="E21" s="216" t="s">
        <v>1221</v>
      </c>
      <c r="F21" s="216" t="s">
        <v>753</v>
      </c>
      <c r="G21" s="216" t="s">
        <v>14357</v>
      </c>
      <c r="H21" s="217">
        <v>0</v>
      </c>
      <c r="I21" s="218" t="s">
        <v>1779</v>
      </c>
      <c r="J21" s="218" t="s">
        <v>1780</v>
      </c>
      <c r="K21" s="267"/>
      <c r="L21" s="267"/>
      <c r="M21" s="267"/>
      <c r="N21" s="267"/>
      <c r="O21" s="267"/>
      <c r="P21" s="219"/>
      <c r="Q21" s="268"/>
      <c r="R21" s="216" t="str">
        <f ca="1">IF(ISERROR($V21),"",OFFSET('Smelter Look-up'!$C$4,$V21-4,0)&amp;"")</f>
        <v>C. Hafner GmbH + Co. KG</v>
      </c>
      <c r="S21" s="224" t="str">
        <f t="shared" ca="1" si="0"/>
        <v>DE</v>
      </c>
      <c r="T21" s="224" t="str">
        <f ca="1">IF(B21="","",IF(ISERROR(MATCH($J21,SorP!$B$1:$B$6230,0)),"",INDIRECT("'SorP'!$A$"&amp;MATCH($J21,SorP!$B$1:$B$6230,0))))</f>
        <v>DE-BW</v>
      </c>
      <c r="U21" s="239"/>
      <c r="V21" s="269">
        <f>IF(C21="",NA(),MATCH($B21&amp;$C21,'Smelter Look-up'!$J:$J,0))</f>
        <v>37</v>
      </c>
      <c r="W21" s="270"/>
      <c r="X21" s="270">
        <f t="shared" si="1"/>
        <v>0</v>
      </c>
      <c r="Y21" s="270"/>
      <c r="Z21" s="270"/>
      <c r="AB21" s="272" t="str">
        <f t="shared" si="2"/>
        <v>GoldC. Hafner GmbH + Co. KG</v>
      </c>
    </row>
    <row r="22" spans="1:28" s="271" customFormat="1" ht="26.25" customHeight="1">
      <c r="A22" s="215" t="s">
        <v>755</v>
      </c>
      <c r="B22" s="216" t="s">
        <v>1250</v>
      </c>
      <c r="C22" s="220" t="s">
        <v>2678</v>
      </c>
      <c r="D22" s="216"/>
      <c r="E22" s="216" t="s">
        <v>1217</v>
      </c>
      <c r="F22" s="216" t="s">
        <v>755</v>
      </c>
      <c r="G22" s="216" t="s">
        <v>14357</v>
      </c>
      <c r="H22" s="217">
        <v>0</v>
      </c>
      <c r="I22" s="218" t="s">
        <v>1798</v>
      </c>
      <c r="J22" s="218" t="s">
        <v>1799</v>
      </c>
      <c r="K22" s="267"/>
      <c r="L22" s="267"/>
      <c r="M22" s="267"/>
      <c r="N22" s="267"/>
      <c r="O22" s="267"/>
      <c r="P22" s="219"/>
      <c r="Q22" s="268"/>
      <c r="R22" s="216" t="str">
        <f ca="1">IF(ISERROR($V22),"",OFFSET('Smelter Look-up'!$C$4,$V22-4,0)&amp;"")</f>
        <v>CCR Refinery - Glencore Canada Corporation</v>
      </c>
      <c r="S22" s="224" t="str">
        <f t="shared" ca="1" si="0"/>
        <v>CA</v>
      </c>
      <c r="T22" s="224" t="str">
        <f ca="1">IF(B22="","",IF(ISERROR(MATCH($J22,SorP!$B$1:$B$6230,0)),"",INDIRECT("'SorP'!$A$"&amp;MATCH($J22,SorP!$B$1:$B$6230,0))))</f>
        <v>CA-QC</v>
      </c>
      <c r="U22" s="239"/>
      <c r="V22" s="269">
        <f>IF(C22="",NA(),MATCH($B22&amp;$C22,'Smelter Look-up'!$J:$J,0))</f>
        <v>40</v>
      </c>
      <c r="W22" s="270"/>
      <c r="X22" s="270">
        <f t="shared" si="1"/>
        <v>0</v>
      </c>
      <c r="Y22" s="270"/>
      <c r="Z22" s="270"/>
      <c r="AB22" s="272" t="str">
        <f t="shared" si="2"/>
        <v>GoldCCR Refinery - Glencore Canada Corporation</v>
      </c>
    </row>
    <row r="23" spans="1:28" s="271" customFormat="1" ht="27" customHeight="1">
      <c r="A23" s="215" t="s">
        <v>756</v>
      </c>
      <c r="B23" s="216" t="s">
        <v>1250</v>
      </c>
      <c r="C23" s="220" t="s">
        <v>3185</v>
      </c>
      <c r="D23" s="216"/>
      <c r="E23" s="216" t="s">
        <v>1218</v>
      </c>
      <c r="F23" s="216" t="s">
        <v>756</v>
      </c>
      <c r="G23" s="216" t="s">
        <v>14357</v>
      </c>
      <c r="H23" s="217">
        <v>0</v>
      </c>
      <c r="I23" s="218" t="s">
        <v>1802</v>
      </c>
      <c r="J23" s="218" t="s">
        <v>1803</v>
      </c>
      <c r="K23" s="267"/>
      <c r="L23" s="267"/>
      <c r="M23" s="267"/>
      <c r="N23" s="267"/>
      <c r="O23" s="267"/>
      <c r="P23" s="219"/>
      <c r="Q23" s="268"/>
      <c r="R23" s="216" t="str">
        <f ca="1">IF(ISERROR($V23),"",OFFSET('Smelter Look-up'!$C$4,$V23-4,0)&amp;"")</f>
        <v>Cendres + Metaux S.A.</v>
      </c>
      <c r="S23" s="224" t="str">
        <f t="shared" ca="1" si="0"/>
        <v>CH</v>
      </c>
      <c r="T23" s="224" t="str">
        <f ca="1">IF(B23="","",IF(ISERROR(MATCH($J23,SorP!$B$1:$B$6230,0)),"",INDIRECT("'SorP'!$A$"&amp;MATCH($J23,SorP!$B$1:$B$6230,0))))</f>
        <v>CH-BE</v>
      </c>
      <c r="U23" s="239"/>
      <c r="V23" s="269">
        <f>IF(C23="",NA(),MATCH($B23&amp;$C23,'Smelter Look-up'!$J:$J,0))</f>
        <v>42</v>
      </c>
      <c r="W23" s="270"/>
      <c r="X23" s="270">
        <f t="shared" si="1"/>
        <v>0</v>
      </c>
      <c r="Y23" s="270"/>
      <c r="Z23" s="270"/>
      <c r="AB23" s="272" t="str">
        <f t="shared" si="2"/>
        <v>GoldCendres + Metaux S.A.</v>
      </c>
    </row>
    <row r="24" spans="1:28" s="271" customFormat="1" ht="30" customHeight="1">
      <c r="A24" s="215" t="s">
        <v>840</v>
      </c>
      <c r="B24" s="216" t="s">
        <v>1252</v>
      </c>
      <c r="C24" s="220" t="s">
        <v>3</v>
      </c>
      <c r="D24" s="216"/>
      <c r="E24" s="216" t="s">
        <v>1220</v>
      </c>
      <c r="F24" s="216" t="s">
        <v>840</v>
      </c>
      <c r="G24" s="216" t="s">
        <v>14357</v>
      </c>
      <c r="H24" s="217">
        <v>0</v>
      </c>
      <c r="I24" s="218" t="s">
        <v>1828</v>
      </c>
      <c r="J24" s="218" t="s">
        <v>15237</v>
      </c>
      <c r="K24" s="267"/>
      <c r="L24" s="267"/>
      <c r="M24" s="267"/>
      <c r="N24" s="267"/>
      <c r="O24" s="267"/>
      <c r="P24" s="219"/>
      <c r="Q24" s="268"/>
      <c r="R24" s="216" t="str">
        <f ca="1">IF(ISERROR($V24),"",OFFSET('Smelter Look-up'!$C$4,$V24-4,0)&amp;"")</f>
        <v>Changsha South Tantalum Niobium Co., Ltd.</v>
      </c>
      <c r="S24" s="224" t="str">
        <f t="shared" ca="1" si="0"/>
        <v>CN</v>
      </c>
      <c r="T24" s="224" t="str">
        <f ca="1">IF(B24="","",IF(ISERROR(MATCH($J24,SorP!$B$1:$B$6230,0)),"",INDIRECT("'SorP'!$A$"&amp;MATCH($J24,SorP!$B$1:$B$6230,0))))</f>
        <v>CN-HN</v>
      </c>
      <c r="U24" s="239"/>
      <c r="V24" s="269">
        <f>IF(C24="",NA(),MATCH($B24&amp;$C24,'Smelter Look-up'!$J:$J,0))</f>
        <v>287</v>
      </c>
      <c r="W24" s="270"/>
      <c r="X24" s="270">
        <f t="shared" si="1"/>
        <v>0</v>
      </c>
      <c r="Y24" s="270"/>
      <c r="Z24" s="270"/>
      <c r="AB24" s="272" t="str">
        <f t="shared" si="2"/>
        <v>TantalumChangsha South Tantalum Niobium Co., Ltd.</v>
      </c>
    </row>
    <row r="25" spans="1:28" s="271" customFormat="1" ht="30" customHeight="1">
      <c r="A25" s="215" t="s">
        <v>902</v>
      </c>
      <c r="B25" s="216" t="s">
        <v>1253</v>
      </c>
      <c r="C25" s="220" t="s">
        <v>1512</v>
      </c>
      <c r="D25" s="216"/>
      <c r="E25" s="216" t="s">
        <v>1220</v>
      </c>
      <c r="F25" s="216" t="s">
        <v>902</v>
      </c>
      <c r="G25" s="216" t="s">
        <v>14357</v>
      </c>
      <c r="H25" s="217">
        <v>0</v>
      </c>
      <c r="I25" s="218" t="s">
        <v>2082</v>
      </c>
      <c r="J25" s="218" t="s">
        <v>15238</v>
      </c>
      <c r="K25" s="267"/>
      <c r="L25" s="267"/>
      <c r="M25" s="267"/>
      <c r="N25" s="267"/>
      <c r="O25" s="267"/>
      <c r="P25" s="219"/>
      <c r="Q25" s="268"/>
      <c r="R25" s="216" t="str">
        <f ca="1">IF(ISERROR($V25),"",OFFSET('Smelter Look-up'!$C$4,$V25-4,0)&amp;"")</f>
        <v>Guangdong Xianglu Tungsten Co., Ltd.</v>
      </c>
      <c r="S25" s="224" t="str">
        <f t="shared" ca="1" si="0"/>
        <v>CN</v>
      </c>
      <c r="T25" s="224" t="str">
        <f ca="1">IF(B25="","",IF(ISERROR(MATCH($J25,SorP!$B$1:$B$6230,0)),"",INDIRECT("'SorP'!$A$"&amp;MATCH($J25,SorP!$B$1:$B$6230,0))))</f>
        <v>CN-GD</v>
      </c>
      <c r="U25" s="239"/>
      <c r="V25" s="269">
        <f>IF(C25="",NA(),MATCH($B25&amp;$C25,'Smelter Look-up'!$J:$J,0))</f>
        <v>539</v>
      </c>
      <c r="W25" s="270"/>
      <c r="X25" s="270">
        <f t="shared" si="1"/>
        <v>0</v>
      </c>
      <c r="Y25" s="270"/>
      <c r="Z25" s="270"/>
      <c r="AB25" s="272" t="str">
        <f t="shared" si="2"/>
        <v>TungstenGuangdong Xianglu Tungsten Co., Ltd.</v>
      </c>
    </row>
    <row r="26" spans="1:28" s="271" customFormat="1" ht="30" customHeight="1">
      <c r="A26" s="215" t="s">
        <v>2738</v>
      </c>
      <c r="B26" s="216" t="s">
        <v>1251</v>
      </c>
      <c r="C26" s="220" t="s">
        <v>2963</v>
      </c>
      <c r="D26" s="216"/>
      <c r="E26" s="216" t="s">
        <v>1220</v>
      </c>
      <c r="F26" s="216" t="s">
        <v>2738</v>
      </c>
      <c r="G26" s="216" t="s">
        <v>14357</v>
      </c>
      <c r="H26" s="217">
        <v>0</v>
      </c>
      <c r="I26" s="218" t="s">
        <v>2025</v>
      </c>
      <c r="J26" s="218" t="s">
        <v>15237</v>
      </c>
      <c r="K26" s="267"/>
      <c r="L26" s="267"/>
      <c r="M26" s="267"/>
      <c r="N26" s="267"/>
      <c r="O26" s="267"/>
      <c r="P26" s="219"/>
      <c r="Q26" s="268"/>
      <c r="R26" s="216" t="str">
        <f ca="1">IF(ISERROR($V26),"",OFFSET('Smelter Look-up'!$C$4,$V26-4,0)&amp;"")</f>
        <v>Chenzhou Yunxiang Mining and Metallurgy Co., Ltd.</v>
      </c>
      <c r="S26" s="224" t="str">
        <f t="shared" ca="1" si="0"/>
        <v>CN</v>
      </c>
      <c r="T26" s="224" t="str">
        <f ca="1">IF(B26="","",IF(ISERROR(MATCH($J26,SorP!$B$1:$B$6230,0)),"",INDIRECT("'SorP'!$A$"&amp;MATCH($J26,SorP!$B$1:$B$6230,0))))</f>
        <v>CN-HN</v>
      </c>
      <c r="U26" s="239"/>
      <c r="V26" s="269">
        <f>IF(C26="",NA(),MATCH($B26&amp;$C26,'Smelter Look-up'!$J:$J,0))</f>
        <v>359</v>
      </c>
      <c r="W26" s="270"/>
      <c r="X26" s="270">
        <f t="shared" si="1"/>
        <v>0</v>
      </c>
      <c r="Y26" s="270"/>
      <c r="Z26" s="270"/>
      <c r="AB26" s="272" t="str">
        <f t="shared" si="2"/>
        <v>TinChenzhou Yunxiang Mining and Metallurgy Co., Ltd.</v>
      </c>
    </row>
    <row r="27" spans="1:28" s="271" customFormat="1" ht="30" customHeight="1">
      <c r="A27" s="215" t="s">
        <v>757</v>
      </c>
      <c r="B27" s="216" t="s">
        <v>1250</v>
      </c>
      <c r="C27" s="220" t="s">
        <v>57</v>
      </c>
      <c r="D27" s="216"/>
      <c r="E27" s="216" t="s">
        <v>1227</v>
      </c>
      <c r="F27" s="216" t="s">
        <v>757</v>
      </c>
      <c r="G27" s="216" t="s">
        <v>14357</v>
      </c>
      <c r="H27" s="217">
        <v>0</v>
      </c>
      <c r="I27" s="218" t="s">
        <v>1806</v>
      </c>
      <c r="J27" s="218" t="s">
        <v>7238</v>
      </c>
      <c r="K27" s="267"/>
      <c r="L27" s="267"/>
      <c r="M27" s="267"/>
      <c r="N27" s="267"/>
      <c r="O27" s="267"/>
      <c r="P27" s="219"/>
      <c r="Q27" s="268"/>
      <c r="R27" s="216" t="str">
        <f ca="1">IF(ISERROR($V27),"",OFFSET('Smelter Look-up'!$C$4,$V27-4,0)&amp;"")</f>
        <v>Chimet S.p.A.</v>
      </c>
      <c r="S27" s="224" t="str">
        <f t="shared" ca="1" si="0"/>
        <v>IT</v>
      </c>
      <c r="T27" s="224" t="str">
        <f ca="1">IF(B27="","",IF(ISERROR(MATCH($J27,SorP!$B$1:$B$6230,0)),"",INDIRECT("'SorP'!$A$"&amp;MATCH($J27,SorP!$B$1:$B$6230,0))))</f>
        <v>IT-52</v>
      </c>
      <c r="U27" s="239"/>
      <c r="V27" s="269">
        <f>IF(C27="",NA(),MATCH($B27&amp;$C27,'Smelter Look-up'!$J:$J,0))</f>
        <v>47</v>
      </c>
      <c r="W27" s="270"/>
      <c r="X27" s="270">
        <f t="shared" si="1"/>
        <v>0</v>
      </c>
      <c r="Y27" s="270"/>
      <c r="Z27" s="270"/>
      <c r="AB27" s="272" t="str">
        <f t="shared" si="2"/>
        <v>GoldChimet S.p.A.</v>
      </c>
    </row>
    <row r="28" spans="1:28" s="271" customFormat="1" ht="30" customHeight="1">
      <c r="A28" s="215" t="s">
        <v>903</v>
      </c>
      <c r="B28" s="216" t="s">
        <v>1253</v>
      </c>
      <c r="C28" s="220" t="s">
        <v>1511</v>
      </c>
      <c r="D28" s="216"/>
      <c r="E28" s="216" t="s">
        <v>1220</v>
      </c>
      <c r="F28" s="216" t="s">
        <v>903</v>
      </c>
      <c r="G28" s="216" t="s">
        <v>14357</v>
      </c>
      <c r="H28" s="217">
        <v>0</v>
      </c>
      <c r="I28" s="218" t="s">
        <v>2024</v>
      </c>
      <c r="J28" s="218" t="s">
        <v>15233</v>
      </c>
      <c r="K28" s="267"/>
      <c r="L28" s="267"/>
      <c r="M28" s="267"/>
      <c r="N28" s="267"/>
      <c r="O28" s="267"/>
      <c r="P28" s="219"/>
      <c r="Q28" s="268"/>
      <c r="R28" s="216" t="str">
        <f ca="1">IF(ISERROR($V28),"",OFFSET('Smelter Look-up'!$C$4,$V28-4,0)&amp;"")</f>
        <v>Chongyi Zhangyuan Tungsten Co., Ltd.</v>
      </c>
      <c r="S28" s="224" t="str">
        <f t="shared" ca="1" si="0"/>
        <v>CN</v>
      </c>
      <c r="T28" s="224" t="str">
        <f ca="1">IF(B28="","",IF(ISERROR(MATCH($J28,SorP!$B$1:$B$6230,0)),"",INDIRECT("'SorP'!$A$"&amp;MATCH($J28,SorP!$B$1:$B$6230,0))))</f>
        <v>CN-JX</v>
      </c>
      <c r="U28" s="239"/>
      <c r="V28" s="269">
        <f>IF(C28="",NA(),MATCH($B28&amp;$C28,'Smelter Look-up'!$J:$J,0))</f>
        <v>529</v>
      </c>
      <c r="W28" s="270"/>
      <c r="X28" s="270">
        <f t="shared" si="1"/>
        <v>0</v>
      </c>
      <c r="Y28" s="270"/>
      <c r="Z28" s="270"/>
      <c r="AB28" s="272" t="str">
        <f t="shared" si="2"/>
        <v>TungstenChongyi Zhangyuan Tungsten Co., Ltd.</v>
      </c>
    </row>
    <row r="29" spans="1:28" s="271" customFormat="1" ht="30" customHeight="1">
      <c r="A29" s="215" t="s">
        <v>758</v>
      </c>
      <c r="B29" s="216" t="s">
        <v>1250</v>
      </c>
      <c r="C29" s="220" t="s">
        <v>612</v>
      </c>
      <c r="D29" s="216"/>
      <c r="E29" s="216" t="s">
        <v>1228</v>
      </c>
      <c r="F29" s="216" t="s">
        <v>758</v>
      </c>
      <c r="G29" s="216" t="s">
        <v>14357</v>
      </c>
      <c r="H29" s="217">
        <v>0</v>
      </c>
      <c r="I29" s="218" t="s">
        <v>1807</v>
      </c>
      <c r="J29" s="218" t="s">
        <v>1778</v>
      </c>
      <c r="K29" s="267"/>
      <c r="L29" s="267"/>
      <c r="M29" s="267"/>
      <c r="N29" s="267"/>
      <c r="O29" s="267"/>
      <c r="P29" s="219"/>
      <c r="Q29" s="268"/>
      <c r="R29" s="216" t="str">
        <f ca="1">IF(ISERROR($V29),"",OFFSET('Smelter Look-up'!$C$4,$V29-4,0)&amp;"")</f>
        <v>Chugai Mining</v>
      </c>
      <c r="S29" s="224" t="str">
        <f t="shared" ca="1" si="0"/>
        <v>JP</v>
      </c>
      <c r="T29" s="224" t="str">
        <f ca="1">IF(B29="","",IF(ISERROR(MATCH($J29,SorP!$B$1:$B$6230,0)),"",INDIRECT("'SorP'!$A$"&amp;MATCH($J29,SorP!$B$1:$B$6230,0))))</f>
        <v>JP-13</v>
      </c>
      <c r="U29" s="239"/>
      <c r="V29" s="269">
        <f>IF(C29="",NA(),MATCH($B29&amp;$C29,'Smelter Look-up'!$J:$J,0))</f>
        <v>50</v>
      </c>
      <c r="W29" s="270"/>
      <c r="X29" s="270">
        <f t="shared" si="1"/>
        <v>0</v>
      </c>
      <c r="Y29" s="270"/>
      <c r="Z29" s="270"/>
      <c r="AB29" s="272" t="str">
        <f t="shared" si="2"/>
        <v>GoldChugai Mining</v>
      </c>
    </row>
    <row r="30" spans="1:28" s="271" customFormat="1" ht="30" customHeight="1">
      <c r="A30" s="215" t="s">
        <v>841</v>
      </c>
      <c r="B30" s="216" t="s">
        <v>1252</v>
      </c>
      <c r="C30" s="220" t="s">
        <v>14001</v>
      </c>
      <c r="D30" s="216"/>
      <c r="E30" s="216" t="s">
        <v>1220</v>
      </c>
      <c r="F30" s="216" t="s">
        <v>841</v>
      </c>
      <c r="G30" s="216" t="s">
        <v>14357</v>
      </c>
      <c r="H30" s="217">
        <v>0</v>
      </c>
      <c r="I30" s="218" t="s">
        <v>1960</v>
      </c>
      <c r="J30" s="218" t="s">
        <v>15238</v>
      </c>
      <c r="K30" s="267"/>
      <c r="L30" s="267"/>
      <c r="M30" s="267"/>
      <c r="N30" s="267"/>
      <c r="O30" s="267"/>
      <c r="P30" s="219"/>
      <c r="Q30" s="268"/>
      <c r="R30" s="216" t="str">
        <f ca="1">IF(ISERROR($V30),"",OFFSET('Smelter Look-up'!$C$4,$V30-4,0)&amp;"")</f>
        <v>Guangdong Rising Rare Metals-EO Materials Ltd.</v>
      </c>
      <c r="S30" s="224" t="str">
        <f t="shared" ca="1" si="0"/>
        <v>CN</v>
      </c>
      <c r="T30" s="224" t="str">
        <f ca="1">IF(B30="","",IF(ISERROR(MATCH($J30,SorP!$B$1:$B$6230,0)),"",INDIRECT("'SorP'!$A$"&amp;MATCH($J30,SorP!$B$1:$B$6230,0))))</f>
        <v>CN-GD</v>
      </c>
      <c r="U30" s="239"/>
      <c r="V30" s="269">
        <f>IF(C30="",NA(),MATCH($B30&amp;$C30,'Smelter Look-up'!$J:$J,0))</f>
        <v>298</v>
      </c>
      <c r="W30" s="270"/>
      <c r="X30" s="270">
        <f t="shared" si="1"/>
        <v>0</v>
      </c>
      <c r="Y30" s="270"/>
      <c r="Z30" s="270"/>
      <c r="AB30" s="272" t="str">
        <f t="shared" si="2"/>
        <v>TantalumGuangdong Rising Rare Metals-EO Materials Ltd.</v>
      </c>
    </row>
    <row r="31" spans="1:28" s="271" customFormat="1" ht="30" customHeight="1">
      <c r="A31" s="215" t="s">
        <v>860</v>
      </c>
      <c r="B31" s="216" t="s">
        <v>1251</v>
      </c>
      <c r="C31" s="220" t="s">
        <v>53</v>
      </c>
      <c r="D31" s="216"/>
      <c r="E31" s="216" t="s">
        <v>3092</v>
      </c>
      <c r="F31" s="216" t="s">
        <v>860</v>
      </c>
      <c r="G31" s="216" t="s">
        <v>14357</v>
      </c>
      <c r="H31" s="217">
        <v>0</v>
      </c>
      <c r="I31" s="218" t="s">
        <v>2008</v>
      </c>
      <c r="J31" s="218" t="s">
        <v>1983</v>
      </c>
      <c r="K31" s="267"/>
      <c r="L31" s="267"/>
      <c r="M31" s="267"/>
      <c r="N31" s="267"/>
      <c r="O31" s="267"/>
      <c r="P31" s="219"/>
      <c r="Q31" s="268"/>
      <c r="R31" s="216" t="str">
        <f ca="1">IF(ISERROR($V31),"",OFFSET('Smelter Look-up'!$C$4,$V31-4,0)&amp;"")</f>
        <v>Alpha</v>
      </c>
      <c r="S31" s="224" t="str">
        <f t="shared" ca="1" si="0"/>
        <v>US</v>
      </c>
      <c r="T31" s="224" t="str">
        <f ca="1">IF(B31="","",IF(ISERROR(MATCH($J31,SorP!$B$1:$B$6230,0)),"",INDIRECT("'SorP'!$A$"&amp;MATCH($J31,SorP!$B$1:$B$6230,0))))</f>
        <v>US-PA</v>
      </c>
      <c r="U31" s="239"/>
      <c r="V31" s="269">
        <f>IF(C31="",NA(),MATCH($B31&amp;$C31,'Smelter Look-up'!$J:$J,0))</f>
        <v>350</v>
      </c>
      <c r="W31" s="270"/>
      <c r="X31" s="270">
        <f t="shared" si="1"/>
        <v>0</v>
      </c>
      <c r="Y31" s="270"/>
      <c r="Z31" s="270"/>
      <c r="AB31" s="272" t="str">
        <f t="shared" si="2"/>
        <v>TinAlpha</v>
      </c>
    </row>
    <row r="32" spans="1:28" s="271" customFormat="1" ht="30" customHeight="1">
      <c r="A32" s="215" t="s">
        <v>1517</v>
      </c>
      <c r="B32" s="216" t="s">
        <v>1251</v>
      </c>
      <c r="C32" s="220" t="s">
        <v>1516</v>
      </c>
      <c r="D32" s="216"/>
      <c r="E32" s="216" t="s">
        <v>1225</v>
      </c>
      <c r="F32" s="216" t="s">
        <v>1517</v>
      </c>
      <c r="G32" s="216" t="s">
        <v>15499</v>
      </c>
      <c r="H32" s="217" t="s">
        <v>15499</v>
      </c>
      <c r="I32" s="218" t="s">
        <v>15499</v>
      </c>
      <c r="J32" s="218" t="s">
        <v>15499</v>
      </c>
      <c r="K32" s="267"/>
      <c r="L32" s="267"/>
      <c r="M32" s="267"/>
      <c r="N32" s="267"/>
      <c r="O32" s="267"/>
      <c r="P32" s="219"/>
      <c r="Q32" s="268"/>
      <c r="R32" s="216" t="str">
        <f ca="1">IF(ISERROR($V32),"",OFFSET('Smelter Look-up'!$C$4,$V32-4,0)&amp;"")</f>
        <v>CV Gita Pesona</v>
      </c>
      <c r="S32" s="224" t="str">
        <f t="shared" ca="1" si="0"/>
        <v>ID</v>
      </c>
      <c r="T32" s="224" t="str">
        <f ca="1">IF(B32="","",IF(ISERROR(MATCH($J32,SorP!$B$1:$B$6230,0)),"",INDIRECT("'SorP'!$A$"&amp;MATCH($J32,SorP!$B$1:$B$6230,0))))</f>
        <v/>
      </c>
      <c r="U32" s="239"/>
      <c r="V32" s="269">
        <f>IF(C32="",NA(),MATCH($B32&amp;$C32,'Smelter Look-up'!$J:$J,0))</f>
        <v>370</v>
      </c>
      <c r="W32" s="270"/>
      <c r="X32" s="270">
        <f t="shared" si="1"/>
        <v>0</v>
      </c>
      <c r="Y32" s="270"/>
      <c r="Z32" s="270"/>
      <c r="AB32" s="272" t="str">
        <f t="shared" si="2"/>
        <v>TinCV Gita Pesona</v>
      </c>
    </row>
    <row r="33" spans="1:28" s="271" customFormat="1" ht="30" customHeight="1">
      <c r="A33" s="215" t="s">
        <v>1518</v>
      </c>
      <c r="B33" s="216" t="s">
        <v>1251</v>
      </c>
      <c r="C33" s="220" t="s">
        <v>2650</v>
      </c>
      <c r="D33" s="216"/>
      <c r="E33" s="216" t="s">
        <v>1225</v>
      </c>
      <c r="F33" s="216" t="s">
        <v>1518</v>
      </c>
      <c r="G33" s="216" t="s">
        <v>14357</v>
      </c>
      <c r="H33" s="217">
        <v>0</v>
      </c>
      <c r="I33" s="218" t="s">
        <v>3108</v>
      </c>
      <c r="J33" s="218" t="s">
        <v>13917</v>
      </c>
      <c r="K33" s="267"/>
      <c r="L33" s="267"/>
      <c r="M33" s="267"/>
      <c r="N33" s="267"/>
      <c r="O33" s="267"/>
      <c r="P33" s="219"/>
      <c r="Q33" s="268"/>
      <c r="R33" s="216" t="str">
        <f ca="1">IF(ISERROR($V33),"",OFFSET('Smelter Look-up'!$C$4,$V33-4,0)&amp;"")</f>
        <v>PT Aries Kencana Sejahtera</v>
      </c>
      <c r="S33" s="224" t="str">
        <f t="shared" ca="1" si="0"/>
        <v>ID</v>
      </c>
      <c r="T33" s="224" t="str">
        <f ca="1">IF(B33="","",IF(ISERROR(MATCH($J33,SorP!$B$1:$B$6230,0)),"",INDIRECT("'SorP'!$A$"&amp;MATCH($J33,SorP!$B$1:$B$6230,0))))</f>
        <v>ID-BB</v>
      </c>
      <c r="U33" s="239"/>
      <c r="V33" s="269">
        <f>IF(C33="",NA(),MATCH($B33&amp;$C33,'Smelter Look-up'!$J:$J,0))</f>
        <v>442</v>
      </c>
      <c r="W33" s="270"/>
      <c r="X33" s="270">
        <f t="shared" si="1"/>
        <v>0</v>
      </c>
      <c r="Y33" s="270"/>
      <c r="Z33" s="270"/>
      <c r="AB33" s="272" t="str">
        <f t="shared" si="2"/>
        <v>TinPT Aries Kencana Sejahtera</v>
      </c>
    </row>
    <row r="34" spans="1:28" s="271" customFormat="1" ht="30" customHeight="1">
      <c r="A34" s="215" t="s">
        <v>861</v>
      </c>
      <c r="B34" s="216" t="s">
        <v>1251</v>
      </c>
      <c r="C34" s="220" t="s">
        <v>14293</v>
      </c>
      <c r="D34" s="216"/>
      <c r="E34" s="216" t="s">
        <v>1225</v>
      </c>
      <c r="F34" s="216" t="s">
        <v>861</v>
      </c>
      <c r="G34" s="216" t="s">
        <v>15499</v>
      </c>
      <c r="H34" s="217" t="s">
        <v>15499</v>
      </c>
      <c r="I34" s="218" t="s">
        <v>15499</v>
      </c>
      <c r="J34" s="218" t="s">
        <v>15499</v>
      </c>
      <c r="K34" s="267"/>
      <c r="L34" s="267"/>
      <c r="M34" s="267"/>
      <c r="N34" s="267"/>
      <c r="O34" s="267"/>
      <c r="P34" s="219"/>
      <c r="Q34" s="268"/>
      <c r="R34" s="216" t="str">
        <f ca="1">IF(ISERROR($V34),"",OFFSET('Smelter Look-up'!$C$4,$V34-4,0)&amp;"")</f>
        <v>PT Premium Tin Indonesia</v>
      </c>
      <c r="S34" s="224" t="str">
        <f t="shared" ca="1" si="0"/>
        <v>ID</v>
      </c>
      <c r="T34" s="224" t="str">
        <f ca="1">IF(B34="","",IF(ISERROR(MATCH($J34,SorP!$B$1:$B$6230,0)),"",INDIRECT("'SorP'!$A$"&amp;MATCH($J34,SorP!$B$1:$B$6230,0))))</f>
        <v/>
      </c>
      <c r="U34" s="239"/>
      <c r="V34" s="269">
        <f>IF(C34="",NA(),MATCH($B34&amp;$C34,'Smelter Look-up'!$J:$J,0))</f>
        <v>462</v>
      </c>
      <c r="W34" s="270"/>
      <c r="X34" s="270">
        <f t="shared" si="1"/>
        <v>0</v>
      </c>
      <c r="Y34" s="270"/>
      <c r="Z34" s="270"/>
      <c r="AB34" s="272" t="str">
        <f t="shared" si="2"/>
        <v>TinPT Premium Tin Indonesia</v>
      </c>
    </row>
    <row r="35" spans="1:28" s="271" customFormat="1" ht="30" customHeight="1">
      <c r="A35" s="215" t="s">
        <v>862</v>
      </c>
      <c r="B35" s="216" t="s">
        <v>1251</v>
      </c>
      <c r="C35" s="220" t="s">
        <v>956</v>
      </c>
      <c r="D35" s="216"/>
      <c r="E35" s="216" t="s">
        <v>1225</v>
      </c>
      <c r="F35" s="216" t="s">
        <v>862</v>
      </c>
      <c r="G35" s="216" t="s">
        <v>14357</v>
      </c>
      <c r="H35" s="217">
        <v>0</v>
      </c>
      <c r="I35" s="218" t="s">
        <v>2017</v>
      </c>
      <c r="J35" s="218" t="s">
        <v>13917</v>
      </c>
      <c r="K35" s="267"/>
      <c r="L35" s="267"/>
      <c r="M35" s="267"/>
      <c r="N35" s="267"/>
      <c r="O35" s="267"/>
      <c r="P35" s="219"/>
      <c r="Q35" s="268"/>
      <c r="R35" s="216" t="str">
        <f ca="1">IF(ISERROR($V35),"",OFFSET('Smelter Look-up'!$C$4,$V35-4,0)&amp;"")</f>
        <v>CV United Smelting</v>
      </c>
      <c r="S35" s="224" t="str">
        <f t="shared" ca="1" si="0"/>
        <v>ID</v>
      </c>
      <c r="T35" s="224" t="str">
        <f ca="1">IF(B35="","",IF(ISERROR(MATCH($J35,SorP!$B$1:$B$6230,0)),"",INDIRECT("'SorP'!$A$"&amp;MATCH($J35,SorP!$B$1:$B$6230,0))))</f>
        <v>ID-BB</v>
      </c>
      <c r="U35" s="239"/>
      <c r="V35" s="269">
        <f>IF(C35="",NA(),MATCH($B35&amp;$C35,'Smelter Look-up'!$J:$J,0))</f>
        <v>374</v>
      </c>
      <c r="W35" s="270"/>
      <c r="X35" s="270">
        <f t="shared" si="1"/>
        <v>0</v>
      </c>
      <c r="Y35" s="270"/>
      <c r="Z35" s="270"/>
      <c r="AB35" s="272" t="str">
        <f t="shared" si="2"/>
        <v>TinCV United Smelting</v>
      </c>
    </row>
    <row r="36" spans="1:28" s="271" customFormat="1" ht="30" customHeight="1">
      <c r="A36" s="215" t="s">
        <v>759</v>
      </c>
      <c r="B36" s="216" t="s">
        <v>1250</v>
      </c>
      <c r="C36" s="220" t="s">
        <v>2552</v>
      </c>
      <c r="D36" s="216"/>
      <c r="E36" s="216" t="s">
        <v>1231</v>
      </c>
      <c r="F36" s="216" t="s">
        <v>759</v>
      </c>
      <c r="G36" s="216" t="s">
        <v>14357</v>
      </c>
      <c r="H36" s="217">
        <v>0</v>
      </c>
      <c r="I36" s="218" t="s">
        <v>2917</v>
      </c>
      <c r="J36" s="218" t="s">
        <v>13931</v>
      </c>
      <c r="K36" s="267"/>
      <c r="L36" s="267"/>
      <c r="M36" s="267"/>
      <c r="N36" s="267"/>
      <c r="O36" s="267"/>
      <c r="P36" s="219"/>
      <c r="Q36" s="268"/>
      <c r="R36" s="216" t="str">
        <f ca="1">IF(ISERROR($V36),"",OFFSET('Smelter Look-up'!$C$4,$V36-4,0)&amp;"")</f>
        <v>Daejin Indus Co., Ltd.</v>
      </c>
      <c r="S36" s="224" t="str">
        <f t="shared" ca="1" si="0"/>
        <v>KR</v>
      </c>
      <c r="T36" s="224" t="str">
        <f ca="1">IF(B36="","",IF(ISERROR(MATCH($J36,SorP!$B$1:$B$6230,0)),"",INDIRECT("'SorP'!$A$"&amp;MATCH($J36,SorP!$B$1:$B$6230,0))))</f>
        <v>KR-28</v>
      </c>
      <c r="U36" s="239"/>
      <c r="V36" s="269">
        <f>IF(C36="",NA(),MATCH($B36&amp;$C36,'Smelter Look-up'!$J:$J,0))</f>
        <v>51</v>
      </c>
      <c r="W36" s="270"/>
      <c r="X36" s="270">
        <f t="shared" si="1"/>
        <v>0</v>
      </c>
      <c r="Y36" s="270"/>
      <c r="Z36" s="270"/>
      <c r="AB36" s="272" t="str">
        <f t="shared" si="2"/>
        <v>GoldDaejin Indus Co., Ltd.</v>
      </c>
    </row>
    <row r="37" spans="1:28" s="271" customFormat="1" ht="30" customHeight="1">
      <c r="A37" s="215" t="s">
        <v>762</v>
      </c>
      <c r="B37" s="216" t="s">
        <v>1250</v>
      </c>
      <c r="C37" s="220" t="s">
        <v>2696</v>
      </c>
      <c r="D37" s="216"/>
      <c r="E37" s="216" t="s">
        <v>1231</v>
      </c>
      <c r="F37" s="216" t="s">
        <v>762</v>
      </c>
      <c r="G37" s="216" t="s">
        <v>14357</v>
      </c>
      <c r="H37" s="217">
        <v>0</v>
      </c>
      <c r="I37" s="218" t="s">
        <v>1811</v>
      </c>
      <c r="J37" s="218" t="s">
        <v>13936</v>
      </c>
      <c r="K37" s="267"/>
      <c r="L37" s="267"/>
      <c r="M37" s="267"/>
      <c r="N37" s="267"/>
      <c r="O37" s="267"/>
      <c r="P37" s="219"/>
      <c r="Q37" s="268"/>
      <c r="R37" s="216" t="str">
        <f ca="1">IF(ISERROR($V37),"",OFFSET('Smelter Look-up'!$C$4,$V37-4,0)&amp;"")</f>
        <v>DSC (Do Sung Corporation)</v>
      </c>
      <c r="S37" s="224" t="str">
        <f t="shared" ca="1" si="0"/>
        <v>KR</v>
      </c>
      <c r="T37" s="224" t="str">
        <f ca="1">IF(B37="","",IF(ISERROR(MATCH($J37,SorP!$B$1:$B$6230,0)),"",INDIRECT("'SorP'!$A$"&amp;MATCH($J37,SorP!$B$1:$B$6230,0))))</f>
        <v>KR-41</v>
      </c>
      <c r="U37" s="239"/>
      <c r="V37" s="269">
        <f>IF(C37="",NA(),MATCH($B37&amp;$C37,'Smelter Look-up'!$J:$J,0))</f>
        <v>66</v>
      </c>
      <c r="W37" s="270"/>
      <c r="X37" s="270">
        <f t="shared" si="1"/>
        <v>0</v>
      </c>
      <c r="Y37" s="270"/>
      <c r="Z37" s="270"/>
      <c r="AB37" s="272" t="str">
        <f t="shared" si="2"/>
        <v>GoldDSC (Do Sung Corporation)</v>
      </c>
    </row>
    <row r="38" spans="1:28" s="271" customFormat="1" ht="30" customHeight="1">
      <c r="A38" s="215" t="s">
        <v>764</v>
      </c>
      <c r="B38" s="216" t="s">
        <v>1250</v>
      </c>
      <c r="C38" s="220" t="s">
        <v>13989</v>
      </c>
      <c r="D38" s="216"/>
      <c r="E38" s="216" t="s">
        <v>1221</v>
      </c>
      <c r="F38" s="216" t="s">
        <v>764</v>
      </c>
      <c r="G38" s="216" t="s">
        <v>14357</v>
      </c>
      <c r="H38" s="217">
        <v>0</v>
      </c>
      <c r="I38" s="218" t="s">
        <v>1779</v>
      </c>
      <c r="J38" s="218" t="s">
        <v>1780</v>
      </c>
      <c r="K38" s="267"/>
      <c r="L38" s="267"/>
      <c r="M38" s="267"/>
      <c r="N38" s="267"/>
      <c r="O38" s="267"/>
      <c r="P38" s="219"/>
      <c r="Q38" s="268"/>
      <c r="R38" s="216" t="str">
        <f ca="1">IF(ISERROR($V38),"",OFFSET('Smelter Look-up'!$C$4,$V38-4,0)&amp;"")</f>
        <v>DODUCO Contacts and Refining GmbH</v>
      </c>
      <c r="S38" s="224" t="str">
        <f t="shared" ca="1" si="0"/>
        <v>DE</v>
      </c>
      <c r="T38" s="224" t="str">
        <f ca="1">IF(B38="","",IF(ISERROR(MATCH($J38,SorP!$B$1:$B$6230,0)),"",INDIRECT("'SorP'!$A$"&amp;MATCH($J38,SorP!$B$1:$B$6230,0))))</f>
        <v>DE-BW</v>
      </c>
      <c r="U38" s="239"/>
      <c r="V38" s="269">
        <f>IF(C38="",NA(),MATCH($B38&amp;$C38,'Smelter Look-up'!$J:$J,0))</f>
        <v>59</v>
      </c>
      <c r="W38" s="270"/>
      <c r="X38" s="270">
        <f t="shared" si="1"/>
        <v>0</v>
      </c>
      <c r="Y38" s="270"/>
      <c r="Z38" s="270"/>
      <c r="AB38" s="272" t="str">
        <f t="shared" si="2"/>
        <v>GoldDODUCO Contacts and Refining GmbH</v>
      </c>
    </row>
    <row r="39" spans="1:28" s="271" customFormat="1" ht="30" customHeight="1">
      <c r="A39" s="215" t="s">
        <v>765</v>
      </c>
      <c r="B39" s="216" t="s">
        <v>1250</v>
      </c>
      <c r="C39" s="220" t="s">
        <v>1022</v>
      </c>
      <c r="D39" s="216"/>
      <c r="E39" s="216" t="s">
        <v>1228</v>
      </c>
      <c r="F39" s="216" t="s">
        <v>765</v>
      </c>
      <c r="G39" s="216" t="s">
        <v>14357</v>
      </c>
      <c r="H39" s="217">
        <v>0</v>
      </c>
      <c r="I39" s="218" t="s">
        <v>1812</v>
      </c>
      <c r="J39" s="218" t="s">
        <v>1813</v>
      </c>
      <c r="K39" s="267"/>
      <c r="L39" s="267"/>
      <c r="M39" s="267"/>
      <c r="N39" s="267"/>
      <c r="O39" s="267"/>
      <c r="P39" s="219"/>
      <c r="Q39" s="268"/>
      <c r="R39" s="216" t="str">
        <f ca="1">IF(ISERROR($V39),"",OFFSET('Smelter Look-up'!$C$4,$V39-4,0)&amp;"")</f>
        <v>Dowa</v>
      </c>
      <c r="S39" s="224" t="str">
        <f t="shared" ca="1" si="0"/>
        <v>JP</v>
      </c>
      <c r="T39" s="224" t="str">
        <f ca="1">IF(B39="","",IF(ISERROR(MATCH($J39,SorP!$B$1:$B$6230,0)),"",INDIRECT("'SorP'!$A$"&amp;MATCH($J39,SorP!$B$1:$B$6230,0))))</f>
        <v>JP-05</v>
      </c>
      <c r="U39" s="239"/>
      <c r="V39" s="269">
        <f>IF(C39="",NA(),MATCH($B39&amp;$C39,'Smelter Look-up'!$J:$J,0))</f>
        <v>61</v>
      </c>
      <c r="W39" s="270"/>
      <c r="X39" s="270">
        <f t="shared" si="1"/>
        <v>0</v>
      </c>
      <c r="Y39" s="270"/>
      <c r="Z39" s="270"/>
      <c r="AB39" s="272" t="str">
        <f t="shared" si="2"/>
        <v>GoldDowa</v>
      </c>
    </row>
    <row r="40" spans="1:28" s="271" customFormat="1" ht="30" customHeight="1">
      <c r="A40" s="215" t="s">
        <v>1553</v>
      </c>
      <c r="B40" s="216" t="s">
        <v>1251</v>
      </c>
      <c r="C40" s="220" t="s">
        <v>1022</v>
      </c>
      <c r="D40" s="216"/>
      <c r="E40" s="216" t="s">
        <v>1228</v>
      </c>
      <c r="F40" s="216" t="s">
        <v>1553</v>
      </c>
      <c r="G40" s="216" t="s">
        <v>14357</v>
      </c>
      <c r="H40" s="217">
        <v>0</v>
      </c>
      <c r="I40" s="218" t="s">
        <v>1812</v>
      </c>
      <c r="J40" s="218" t="s">
        <v>1813</v>
      </c>
      <c r="K40" s="267"/>
      <c r="L40" s="267"/>
      <c r="M40" s="267"/>
      <c r="N40" s="267"/>
      <c r="O40" s="267"/>
      <c r="P40" s="219"/>
      <c r="Q40" s="268"/>
      <c r="R40" s="216" t="str">
        <f ca="1">IF(ISERROR($V40),"",OFFSET('Smelter Look-up'!$C$4,$V40-4,0)&amp;"")</f>
        <v>Dowa</v>
      </c>
      <c r="S40" s="224" t="str">
        <f t="shared" ca="1" si="0"/>
        <v>JP</v>
      </c>
      <c r="T40" s="224" t="str">
        <f ca="1">IF(B40="","",IF(ISERROR(MATCH($J40,SorP!$B$1:$B$6230,0)),"",INDIRECT("'SorP'!$A$"&amp;MATCH($J40,SorP!$B$1:$B$6230,0))))</f>
        <v>JP-05</v>
      </c>
      <c r="U40" s="239"/>
      <c r="V40" s="269">
        <f>IF(C40="",NA(),MATCH($B40&amp;$C40,'Smelter Look-up'!$J:$J,0))</f>
        <v>377</v>
      </c>
      <c r="W40" s="270"/>
      <c r="X40" s="270">
        <f t="shared" si="1"/>
        <v>0</v>
      </c>
      <c r="Y40" s="270"/>
      <c r="Z40" s="270"/>
      <c r="AB40" s="272" t="str">
        <f t="shared" si="2"/>
        <v>TinDowa</v>
      </c>
    </row>
    <row r="41" spans="1:28" s="271" customFormat="1" ht="30" customHeight="1">
      <c r="A41" s="215" t="s">
        <v>461</v>
      </c>
      <c r="B41" s="216" t="s">
        <v>1250</v>
      </c>
      <c r="C41" s="220" t="s">
        <v>460</v>
      </c>
      <c r="D41" s="216"/>
      <c r="E41" s="216" t="s">
        <v>1228</v>
      </c>
      <c r="F41" s="216" t="s">
        <v>461</v>
      </c>
      <c r="G41" s="216" t="s">
        <v>15499</v>
      </c>
      <c r="H41" s="217" t="s">
        <v>15499</v>
      </c>
      <c r="I41" s="218" t="s">
        <v>15499</v>
      </c>
      <c r="J41" s="218" t="s">
        <v>15499</v>
      </c>
      <c r="K41" s="267"/>
      <c r="L41" s="267"/>
      <c r="M41" s="267"/>
      <c r="N41" s="267"/>
      <c r="O41" s="267"/>
      <c r="P41" s="219"/>
      <c r="Q41" s="268"/>
      <c r="R41" s="216" t="str">
        <f ca="1">IF(ISERROR($V41),"",OFFSET('Smelter Look-up'!$C$4,$V41-4,0)&amp;"")</f>
        <v>Eco-System Recycling Co., Ltd.</v>
      </c>
      <c r="S41" s="224" t="str">
        <f t="shared" ca="1" si="0"/>
        <v>JP</v>
      </c>
      <c r="T41" s="224" t="str">
        <f ca="1">IF(B41="","",IF(ISERROR(MATCH($J41,SorP!$B$1:$B$6230,0)),"",INDIRECT("'SorP'!$A$"&amp;MATCH($J41,SorP!$B$1:$B$6230,0))))</f>
        <v/>
      </c>
      <c r="U41" s="239"/>
      <c r="V41" s="269">
        <f>IF(C41="",NA(),MATCH($B41&amp;$C41,'Smelter Look-up'!$J:$J,0))</f>
        <v>67</v>
      </c>
      <c r="W41" s="270"/>
      <c r="X41" s="270">
        <f t="shared" si="1"/>
        <v>0</v>
      </c>
      <c r="Y41" s="270"/>
      <c r="Z41" s="270"/>
      <c r="AB41" s="272" t="str">
        <f t="shared" si="2"/>
        <v>GoldEco-System Recycling Co., Ltd.</v>
      </c>
    </row>
    <row r="42" spans="1:28" s="271" customFormat="1" ht="41.25" customHeight="1">
      <c r="A42" s="215" t="s">
        <v>863</v>
      </c>
      <c r="B42" s="216" t="s">
        <v>1251</v>
      </c>
      <c r="C42" s="220" t="s">
        <v>957</v>
      </c>
      <c r="D42" s="216"/>
      <c r="E42" s="216" t="s">
        <v>3090</v>
      </c>
      <c r="F42" s="216" t="s">
        <v>863</v>
      </c>
      <c r="G42" s="216" t="s">
        <v>14357</v>
      </c>
      <c r="H42" s="217">
        <v>0</v>
      </c>
      <c r="I42" s="218" t="s">
        <v>2019</v>
      </c>
      <c r="J42" s="218" t="s">
        <v>2019</v>
      </c>
      <c r="K42" s="267"/>
      <c r="L42" s="267"/>
      <c r="M42" s="267"/>
      <c r="N42" s="267"/>
      <c r="O42" s="267"/>
      <c r="P42" s="219"/>
      <c r="Q42" s="268"/>
      <c r="R42" s="216" t="str">
        <f ca="1">IF(ISERROR($V42),"",OFFSET('Smelter Look-up'!$C$4,$V42-4,0)&amp;"")</f>
        <v>EM Vinto</v>
      </c>
      <c r="S42" s="224" t="str">
        <f t="shared" ca="1" si="0"/>
        <v>BO</v>
      </c>
      <c r="T42" s="224" t="str">
        <f ca="1">IF(B42="","",IF(ISERROR(MATCH($J42,SorP!$B$1:$B$6230,0)),"",INDIRECT("'SorP'!$A$"&amp;MATCH($J42,SorP!$B$1:$B$6230,0))))</f>
        <v>BO-O</v>
      </c>
      <c r="U42" s="239"/>
      <c r="V42" s="269">
        <f>IF(C42="",NA(),MATCH($B42&amp;$C42,'Smelter Look-up'!$J:$J,0))</f>
        <v>380</v>
      </c>
      <c r="W42" s="270"/>
      <c r="X42" s="270">
        <f t="shared" si="1"/>
        <v>0</v>
      </c>
      <c r="Y42" s="270"/>
      <c r="Z42" s="270"/>
      <c r="AB42" s="272" t="str">
        <f t="shared" si="2"/>
        <v>TinEM Vinto</v>
      </c>
    </row>
    <row r="43" spans="1:28" s="271" customFormat="1" ht="30" customHeight="1">
      <c r="A43" s="215" t="s">
        <v>842</v>
      </c>
      <c r="B43" s="216" t="s">
        <v>1252</v>
      </c>
      <c r="C43" s="220" t="s">
        <v>1238</v>
      </c>
      <c r="D43" s="216"/>
      <c r="E43" s="216" t="s">
        <v>3092</v>
      </c>
      <c r="F43" s="216" t="s">
        <v>842</v>
      </c>
      <c r="G43" s="216" t="s">
        <v>14357</v>
      </c>
      <c r="H43" s="217">
        <v>0</v>
      </c>
      <c r="I43" s="218" t="s">
        <v>1961</v>
      </c>
      <c r="J43" s="218" t="s">
        <v>1939</v>
      </c>
      <c r="K43" s="267"/>
      <c r="L43" s="267"/>
      <c r="M43" s="267"/>
      <c r="N43" s="267"/>
      <c r="O43" s="267"/>
      <c r="P43" s="219"/>
      <c r="Q43" s="268"/>
      <c r="R43" s="216" t="str">
        <f ca="1">IF(ISERROR($V43),"",OFFSET('Smelter Look-up'!$C$4,$V43-4,0)&amp;"")</f>
        <v>Exotech Inc.</v>
      </c>
      <c r="S43" s="224" t="str">
        <f t="shared" ca="1" si="0"/>
        <v>US</v>
      </c>
      <c r="T43" s="224" t="str">
        <f ca="1">IF(B43="","",IF(ISERROR(MATCH($J43,SorP!$B$1:$B$6230,0)),"",INDIRECT("'SorP'!$A$"&amp;MATCH($J43,SorP!$B$1:$B$6230,0))))</f>
        <v>US-FL</v>
      </c>
      <c r="U43" s="239"/>
      <c r="V43" s="269">
        <f>IF(C43="",NA(),MATCH($B43&amp;$C43,'Smelter Look-up'!$J:$J,0))</f>
        <v>292</v>
      </c>
      <c r="W43" s="270"/>
      <c r="X43" s="270">
        <f t="shared" si="1"/>
        <v>0</v>
      </c>
      <c r="Y43" s="270"/>
      <c r="Z43" s="270"/>
      <c r="AB43" s="272" t="str">
        <f t="shared" si="2"/>
        <v>TantalumExotech Inc.</v>
      </c>
    </row>
    <row r="44" spans="1:28" s="271" customFormat="1" ht="30" customHeight="1">
      <c r="A44" s="215" t="s">
        <v>843</v>
      </c>
      <c r="B44" s="216" t="s">
        <v>1252</v>
      </c>
      <c r="C44" s="220" t="s">
        <v>49</v>
      </c>
      <c r="D44" s="216"/>
      <c r="E44" s="216" t="s">
        <v>1220</v>
      </c>
      <c r="F44" s="216" t="s">
        <v>843</v>
      </c>
      <c r="G44" s="216" t="s">
        <v>14357</v>
      </c>
      <c r="H44" s="217">
        <v>0</v>
      </c>
      <c r="I44" s="218" t="s">
        <v>1962</v>
      </c>
      <c r="J44" s="218" t="s">
        <v>15238</v>
      </c>
      <c r="K44" s="267"/>
      <c r="L44" s="267"/>
      <c r="M44" s="267"/>
      <c r="N44" s="267"/>
      <c r="O44" s="267"/>
      <c r="P44" s="219"/>
      <c r="Q44" s="268"/>
      <c r="R44" s="216" t="str">
        <f ca="1">IF(ISERROR($V44),"",OFFSET('Smelter Look-up'!$C$4,$V44-4,0)&amp;"")</f>
        <v>F&amp;X Electro-Materials Ltd.</v>
      </c>
      <c r="S44" s="224" t="str">
        <f t="shared" ca="1" si="0"/>
        <v>CN</v>
      </c>
      <c r="T44" s="224" t="str">
        <f ca="1">IF(B44="","",IF(ISERROR(MATCH($J44,SorP!$B$1:$B$6230,0)),"",INDIRECT("'SorP'!$A$"&amp;MATCH($J44,SorP!$B$1:$B$6230,0))))</f>
        <v>CN-GD</v>
      </c>
      <c r="U44" s="239"/>
      <c r="V44" s="269">
        <f>IF(C44="",NA(),MATCH($B44&amp;$C44,'Smelter Look-up'!$J:$J,0))</f>
        <v>294</v>
      </c>
      <c r="W44" s="270"/>
      <c r="X44" s="270">
        <f t="shared" si="1"/>
        <v>0</v>
      </c>
      <c r="Y44" s="270"/>
      <c r="Z44" s="270"/>
      <c r="AB44" s="272" t="str">
        <f t="shared" si="2"/>
        <v>TantalumF&amp;X Electro-Materials Ltd.</v>
      </c>
    </row>
    <row r="45" spans="1:28" s="271" customFormat="1" ht="30" customHeight="1">
      <c r="A45" s="215" t="s">
        <v>865</v>
      </c>
      <c r="B45" s="216" t="s">
        <v>1251</v>
      </c>
      <c r="C45" s="220" t="s">
        <v>926</v>
      </c>
      <c r="D45" s="216"/>
      <c r="E45" s="216" t="s">
        <v>998</v>
      </c>
      <c r="F45" s="216" t="s">
        <v>865</v>
      </c>
      <c r="G45" s="216" t="s">
        <v>14357</v>
      </c>
      <c r="H45" s="217">
        <v>0</v>
      </c>
      <c r="I45" s="218" t="s">
        <v>2022</v>
      </c>
      <c r="J45" s="218" t="s">
        <v>10373</v>
      </c>
      <c r="K45" s="267"/>
      <c r="L45" s="267"/>
      <c r="M45" s="267"/>
      <c r="N45" s="267"/>
      <c r="O45" s="267"/>
      <c r="P45" s="219"/>
      <c r="Q45" s="268"/>
      <c r="R45" s="216" t="str">
        <f ca="1">IF(ISERROR($V45),"",OFFSET('Smelter Look-up'!$C$4,$V45-4,0)&amp;"")</f>
        <v>Fenix Metals</v>
      </c>
      <c r="S45" s="224" t="str">
        <f t="shared" ca="1" si="0"/>
        <v>PL</v>
      </c>
      <c r="T45" s="224" t="str">
        <f ca="1">IF(B45="","",IF(ISERROR(MATCH($J45,SorP!$B$1:$B$6230,0)),"",INDIRECT("'SorP'!$A$"&amp;MATCH($J45,SorP!$B$1:$B$6230,0))))</f>
        <v>PL-18</v>
      </c>
      <c r="U45" s="239"/>
      <c r="V45" s="269">
        <f>IF(C45="",NA(),MATCH($B45&amp;$C45,'Smelter Look-up'!$J:$J,0))</f>
        <v>386</v>
      </c>
      <c r="W45" s="270"/>
      <c r="X45" s="270">
        <f t="shared" si="1"/>
        <v>0</v>
      </c>
      <c r="Y45" s="270"/>
      <c r="Z45" s="270"/>
      <c r="AB45" s="272" t="str">
        <f t="shared" si="2"/>
        <v>TinFenix Metals</v>
      </c>
    </row>
    <row r="46" spans="1:28" s="271" customFormat="1" ht="30" customHeight="1">
      <c r="A46" s="215" t="s">
        <v>766</v>
      </c>
      <c r="B46" s="216" t="s">
        <v>1250</v>
      </c>
      <c r="C46" s="220" t="s">
        <v>2629</v>
      </c>
      <c r="D46" s="216"/>
      <c r="E46" s="216" t="s">
        <v>999</v>
      </c>
      <c r="F46" s="216" t="s">
        <v>766</v>
      </c>
      <c r="G46" s="216" t="s">
        <v>14357</v>
      </c>
      <c r="H46" s="217">
        <v>0</v>
      </c>
      <c r="I46" s="218" t="s">
        <v>1819</v>
      </c>
      <c r="J46" s="218" t="s">
        <v>10877</v>
      </c>
      <c r="K46" s="267"/>
      <c r="L46" s="267"/>
      <c r="M46" s="267"/>
      <c r="N46" s="267"/>
      <c r="O46" s="267"/>
      <c r="P46" s="219"/>
      <c r="Q46" s="268"/>
      <c r="R46" s="216" t="str">
        <f ca="1">IF(ISERROR($V46),"",OFFSET('Smelter Look-up'!$C$4,$V46-4,0)&amp;"")</f>
        <v>OJSC Novosibirsk Refinery</v>
      </c>
      <c r="S46" s="224" t="str">
        <f t="shared" ca="1" si="0"/>
        <v>RU</v>
      </c>
      <c r="T46" s="224" t="str">
        <f ca="1">IF(B46="","",IF(ISERROR(MATCH($J46,SorP!$B$1:$B$6230,0)),"",INDIRECT("'SorP'!$A$"&amp;MATCH($J46,SorP!$B$1:$B$6230,0))))</f>
        <v>RU-NVS</v>
      </c>
      <c r="U46" s="239"/>
      <c r="V46" s="269">
        <f>IF(C46="",NA(),MATCH($B46&amp;$C46,'Smelter Look-up'!$J:$J,0))</f>
        <v>175</v>
      </c>
      <c r="W46" s="270"/>
      <c r="X46" s="270">
        <f t="shared" si="1"/>
        <v>0</v>
      </c>
      <c r="Y46" s="270"/>
      <c r="Z46" s="270"/>
      <c r="AB46" s="272" t="str">
        <f t="shared" si="2"/>
        <v>GoldOJSC Novosibirsk Refinery</v>
      </c>
    </row>
    <row r="47" spans="1:28" s="271" customFormat="1" ht="30" customHeight="1">
      <c r="A47" s="215" t="s">
        <v>904</v>
      </c>
      <c r="B47" s="216" t="s">
        <v>1253</v>
      </c>
      <c r="C47" s="220" t="s">
        <v>927</v>
      </c>
      <c r="D47" s="216"/>
      <c r="E47" s="216" t="s">
        <v>1220</v>
      </c>
      <c r="F47" s="216" t="s">
        <v>904</v>
      </c>
      <c r="G47" s="216" t="s">
        <v>14357</v>
      </c>
      <c r="H47" s="217">
        <v>0</v>
      </c>
      <c r="I47" s="218" t="s">
        <v>2084</v>
      </c>
      <c r="J47" s="218" t="s">
        <v>15232</v>
      </c>
      <c r="K47" s="267"/>
      <c r="L47" s="267"/>
      <c r="M47" s="267"/>
      <c r="N47" s="267"/>
      <c r="O47" s="267"/>
      <c r="P47" s="219"/>
      <c r="Q47" s="268"/>
      <c r="R47" s="216" t="str">
        <f ca="1">IF(ISERROR($V47),"",OFFSET('Smelter Look-up'!$C$4,$V47-4,0)&amp;"")</f>
        <v>Fujian Jinxin Tungsten Co., Ltd.</v>
      </c>
      <c r="S47" s="224" t="str">
        <f t="shared" ca="1" si="0"/>
        <v>CN</v>
      </c>
      <c r="T47" s="224" t="str">
        <f ca="1">IF(B47="","",IF(ISERROR(MATCH($J47,SorP!$B$1:$B$6230,0)),"",INDIRECT("'SorP'!$A$"&amp;MATCH($J47,SorP!$B$1:$B$6230,0))))</f>
        <v>CN-FJ</v>
      </c>
      <c r="U47" s="239"/>
      <c r="V47" s="269">
        <f>IF(C47="",NA(),MATCH($B47&amp;$C47,'Smelter Look-up'!$J:$J,0))</f>
        <v>532</v>
      </c>
      <c r="W47" s="270"/>
      <c r="X47" s="270">
        <f t="shared" si="1"/>
        <v>0</v>
      </c>
      <c r="Y47" s="270"/>
      <c r="Z47" s="270"/>
      <c r="AB47" s="272" t="str">
        <f t="shared" si="2"/>
        <v>TungstenFujian Jinxin Tungsten Co., Ltd.</v>
      </c>
    </row>
    <row r="48" spans="1:28" s="271" customFormat="1" ht="30" customHeight="1">
      <c r="A48" s="215" t="s">
        <v>866</v>
      </c>
      <c r="B48" s="216" t="s">
        <v>1251</v>
      </c>
      <c r="C48" s="220" t="s">
        <v>2553</v>
      </c>
      <c r="D48" s="216"/>
      <c r="E48" s="216" t="s">
        <v>1220</v>
      </c>
      <c r="F48" s="216" t="s">
        <v>866</v>
      </c>
      <c r="G48" s="216" t="s">
        <v>14357</v>
      </c>
      <c r="H48" s="217">
        <v>0</v>
      </c>
      <c r="I48" s="218" t="s">
        <v>3109</v>
      </c>
      <c r="J48" s="218" t="s">
        <v>15242</v>
      </c>
      <c r="K48" s="267"/>
      <c r="L48" s="267"/>
      <c r="M48" s="267"/>
      <c r="N48" s="267"/>
      <c r="O48" s="267"/>
      <c r="P48" s="219"/>
      <c r="Q48" s="268"/>
      <c r="R48" s="216" t="str">
        <f ca="1">IF(ISERROR($V48),"",OFFSET('Smelter Look-up'!$C$4,$V48-4,0)&amp;"")</f>
        <v>Gejiu Non-Ferrous Metal Processing Co., Ltd.</v>
      </c>
      <c r="S48" s="224" t="str">
        <f t="shared" ca="1" si="0"/>
        <v>CN</v>
      </c>
      <c r="T48" s="224" t="str">
        <f ca="1">IF(B48="","",IF(ISERROR(MATCH($J48,SorP!$B$1:$B$6230,0)),"",INDIRECT("'SorP'!$A$"&amp;MATCH($J48,SorP!$B$1:$B$6230,0))))</f>
        <v>CN-YN</v>
      </c>
      <c r="U48" s="239"/>
      <c r="V48" s="269">
        <f>IF(C48="",NA(),MATCH($B48&amp;$C48,'Smelter Look-up'!$J:$J,0))</f>
        <v>393</v>
      </c>
      <c r="W48" s="270"/>
      <c r="X48" s="270">
        <f t="shared" si="1"/>
        <v>0</v>
      </c>
      <c r="Y48" s="270"/>
      <c r="Z48" s="270"/>
      <c r="AB48" s="272" t="str">
        <f t="shared" si="2"/>
        <v>TinGejiu Non-Ferrous Metal Processing Co., Ltd.</v>
      </c>
    </row>
    <row r="49" spans="1:28" s="271" customFormat="1" ht="30" customHeight="1">
      <c r="A49" s="215" t="s">
        <v>867</v>
      </c>
      <c r="B49" s="216" t="s">
        <v>1251</v>
      </c>
      <c r="C49" s="220" t="s">
        <v>2023</v>
      </c>
      <c r="D49" s="216"/>
      <c r="E49" s="216" t="s">
        <v>1220</v>
      </c>
      <c r="F49" s="216" t="s">
        <v>867</v>
      </c>
      <c r="G49" s="216" t="s">
        <v>14357</v>
      </c>
      <c r="H49" s="217">
        <v>0</v>
      </c>
      <c r="I49" s="218" t="s">
        <v>3109</v>
      </c>
      <c r="J49" s="218" t="s">
        <v>15242</v>
      </c>
      <c r="K49" s="267"/>
      <c r="L49" s="267"/>
      <c r="M49" s="267"/>
      <c r="N49" s="267"/>
      <c r="O49" s="267"/>
      <c r="P49" s="219"/>
      <c r="Q49" s="268"/>
      <c r="R49" s="216" t="str">
        <f ca="1">IF(ISERROR($V49),"",OFFSET('Smelter Look-up'!$C$4,$V49-4,0)&amp;"")</f>
        <v>Gejiu Zili Mining And Metallurgy Co., Ltd.</v>
      </c>
      <c r="S49" s="224" t="str">
        <f t="shared" ca="1" si="0"/>
        <v>CN</v>
      </c>
      <c r="T49" s="224" t="str">
        <f ca="1">IF(B49="","",IF(ISERROR(MATCH($J49,SorP!$B$1:$B$6230,0)),"",INDIRECT("'SorP'!$A$"&amp;MATCH($J49,SorP!$B$1:$B$6230,0))))</f>
        <v>CN-YN</v>
      </c>
      <c r="U49" s="239"/>
      <c r="V49" s="269">
        <f>IF(C49="",NA(),MATCH($B49&amp;$C49,'Smelter Look-up'!$J:$J,0))</f>
        <v>396</v>
      </c>
      <c r="W49" s="270"/>
      <c r="X49" s="270">
        <f t="shared" si="1"/>
        <v>0</v>
      </c>
      <c r="Y49" s="270"/>
      <c r="Z49" s="270"/>
      <c r="AB49" s="272" t="str">
        <f t="shared" si="2"/>
        <v>TinGejiu Zili Mining And Metallurgy Co., Ltd.</v>
      </c>
    </row>
    <row r="50" spans="1:28" s="271" customFormat="1" ht="30" customHeight="1">
      <c r="A50" s="215" t="s">
        <v>905</v>
      </c>
      <c r="B50" s="216" t="s">
        <v>1253</v>
      </c>
      <c r="C50" s="220" t="s">
        <v>1</v>
      </c>
      <c r="D50" s="216"/>
      <c r="E50" s="216" t="s">
        <v>3092</v>
      </c>
      <c r="F50" s="216" t="s">
        <v>905</v>
      </c>
      <c r="G50" s="216" t="s">
        <v>14357</v>
      </c>
      <c r="H50" s="217">
        <v>0</v>
      </c>
      <c r="I50" s="218" t="s">
        <v>2085</v>
      </c>
      <c r="J50" s="218" t="s">
        <v>1983</v>
      </c>
      <c r="K50" s="267"/>
      <c r="L50" s="267"/>
      <c r="M50" s="267"/>
      <c r="N50" s="267"/>
      <c r="O50" s="267"/>
      <c r="P50" s="219"/>
      <c r="Q50" s="268"/>
      <c r="R50" s="216" t="str">
        <f ca="1">IF(ISERROR($V50),"",OFFSET('Smelter Look-up'!$C$4,$V50-4,0)&amp;"")</f>
        <v>Global Tungsten &amp; Powders Corp.</v>
      </c>
      <c r="S50" s="224" t="str">
        <f t="shared" ca="1" si="0"/>
        <v>US</v>
      </c>
      <c r="T50" s="224" t="str">
        <f ca="1">IF(B50="","",IF(ISERROR(MATCH($J50,SorP!$B$1:$B$6230,0)),"",INDIRECT("'SorP'!$A$"&amp;MATCH($J50,SorP!$B$1:$B$6230,0))))</f>
        <v>US-PA</v>
      </c>
      <c r="U50" s="239"/>
      <c r="V50" s="269">
        <f>IF(C50="",NA(),MATCH($B50&amp;$C50,'Smelter Look-up'!$J:$J,0))</f>
        <v>537</v>
      </c>
      <c r="W50" s="270"/>
      <c r="X50" s="270">
        <f t="shared" si="1"/>
        <v>0</v>
      </c>
      <c r="Y50" s="270"/>
      <c r="Z50" s="270"/>
      <c r="AB50" s="272" t="str">
        <f t="shared" si="2"/>
        <v>TungstenGlobal Tungsten &amp; Powders Corp.</v>
      </c>
    </row>
    <row r="51" spans="1:28" s="271" customFormat="1" ht="30" customHeight="1">
      <c r="A51" s="215" t="s">
        <v>845</v>
      </c>
      <c r="B51" s="216" t="s">
        <v>1252</v>
      </c>
      <c r="C51" s="220" t="s">
        <v>844</v>
      </c>
      <c r="D51" s="216"/>
      <c r="E51" s="216" t="s">
        <v>1220</v>
      </c>
      <c r="F51" s="216" t="s">
        <v>845</v>
      </c>
      <c r="G51" s="216" t="s">
        <v>14357</v>
      </c>
      <c r="H51" s="217">
        <v>0</v>
      </c>
      <c r="I51" s="218" t="s">
        <v>1964</v>
      </c>
      <c r="J51" s="218" t="s">
        <v>15238</v>
      </c>
      <c r="K51" s="267"/>
      <c r="L51" s="267"/>
      <c r="M51" s="267"/>
      <c r="N51" s="267"/>
      <c r="O51" s="267"/>
      <c r="P51" s="219"/>
      <c r="Q51" s="268"/>
      <c r="R51" s="216" t="str">
        <f ca="1">IF(ISERROR($V51),"",OFFSET('Smelter Look-up'!$C$4,$V51-4,0)&amp;"")</f>
        <v>Guangdong Zhiyuan New Material Co., Ltd.</v>
      </c>
      <c r="S51" s="224" t="str">
        <f t="shared" ca="1" si="0"/>
        <v>CN</v>
      </c>
      <c r="T51" s="224" t="str">
        <f ca="1">IF(B51="","",IF(ISERROR(MATCH($J51,SorP!$B$1:$B$6230,0)),"",INDIRECT("'SorP'!$A$"&amp;MATCH($J51,SorP!$B$1:$B$6230,0))))</f>
        <v>CN-GD</v>
      </c>
      <c r="U51" s="239"/>
      <c r="V51" s="269">
        <f>IF(C51="",NA(),MATCH($B51&amp;$C51,'Smelter Look-up'!$J:$J,0))</f>
        <v>299</v>
      </c>
      <c r="W51" s="270"/>
      <c r="X51" s="270">
        <f t="shared" si="1"/>
        <v>0</v>
      </c>
      <c r="Y51" s="270"/>
      <c r="Z51" s="270"/>
      <c r="AB51" s="272" t="str">
        <f t="shared" si="2"/>
        <v>TantalumGuangdong Zhiyuan New Material Co., Ltd.</v>
      </c>
    </row>
    <row r="52" spans="1:28" s="271" customFormat="1" ht="30" customHeight="1">
      <c r="A52" s="215" t="s">
        <v>3191</v>
      </c>
      <c r="B52" s="216" t="s">
        <v>1250</v>
      </c>
      <c r="C52" s="220" t="s">
        <v>3190</v>
      </c>
      <c r="D52" s="216"/>
      <c r="E52" s="216" t="s">
        <v>1231</v>
      </c>
      <c r="F52" s="216" t="s">
        <v>3191</v>
      </c>
      <c r="G52" s="216" t="s">
        <v>14357</v>
      </c>
      <c r="H52" s="217">
        <v>0</v>
      </c>
      <c r="I52" s="218" t="s">
        <v>3192</v>
      </c>
      <c r="J52" s="218" t="s">
        <v>13931</v>
      </c>
      <c r="K52" s="267"/>
      <c r="L52" s="267"/>
      <c r="M52" s="267"/>
      <c r="N52" s="267"/>
      <c r="O52" s="267"/>
      <c r="P52" s="219"/>
      <c r="Q52" s="268"/>
      <c r="R52" s="216" t="str">
        <f ca="1">IF(ISERROR($V52),"",OFFSET('Smelter Look-up'!$C$4,$V52-4,0)&amp;"")</f>
        <v>HeeSung Metal Ltd.</v>
      </c>
      <c r="S52" s="224" t="str">
        <f t="shared" ca="1" si="0"/>
        <v>KR</v>
      </c>
      <c r="T52" s="224" t="str">
        <f ca="1">IF(B52="","",IF(ISERROR(MATCH($J52,SorP!$B$1:$B$6230,0)),"",INDIRECT("'SorP'!$A$"&amp;MATCH($J52,SorP!$B$1:$B$6230,0))))</f>
        <v>KR-28</v>
      </c>
      <c r="U52" s="239"/>
      <c r="V52" s="269">
        <f>IF(C52="",NA(),MATCH($B52&amp;$C52,'Smelter Look-up'!$J:$J,0))</f>
        <v>85</v>
      </c>
      <c r="W52" s="270"/>
      <c r="X52" s="270">
        <f t="shared" si="1"/>
        <v>0</v>
      </c>
      <c r="Y52" s="270"/>
      <c r="Z52" s="270"/>
      <c r="AB52" s="272" t="str">
        <f t="shared" si="2"/>
        <v>GoldHeeSung Metal Ltd.</v>
      </c>
    </row>
    <row r="53" spans="1:28" s="271" customFormat="1" ht="30" customHeight="1">
      <c r="A53" s="215" t="s">
        <v>770</v>
      </c>
      <c r="B53" s="216" t="s">
        <v>1250</v>
      </c>
      <c r="C53" s="220" t="s">
        <v>1156</v>
      </c>
      <c r="D53" s="216"/>
      <c r="E53" s="216" t="s">
        <v>1221</v>
      </c>
      <c r="F53" s="216" t="s">
        <v>770</v>
      </c>
      <c r="G53" s="216" t="s">
        <v>14357</v>
      </c>
      <c r="H53" s="217">
        <v>0</v>
      </c>
      <c r="I53" s="218" t="s">
        <v>1779</v>
      </c>
      <c r="J53" s="218" t="s">
        <v>1780</v>
      </c>
      <c r="K53" s="267"/>
      <c r="L53" s="267"/>
      <c r="M53" s="267"/>
      <c r="N53" s="267"/>
      <c r="O53" s="267"/>
      <c r="P53" s="219"/>
      <c r="Q53" s="268"/>
      <c r="R53" s="216" t="str">
        <f ca="1">IF(ISERROR($V53),"",OFFSET('Smelter Look-up'!$C$4,$V53-4,0)&amp;"")</f>
        <v>Heimerle + Meule GmbH</v>
      </c>
      <c r="S53" s="224" t="str">
        <f t="shared" ca="1" si="0"/>
        <v>DE</v>
      </c>
      <c r="T53" s="224" t="str">
        <f ca="1">IF(B53="","",IF(ISERROR(MATCH($J53,SorP!$B$1:$B$6230,0)),"",INDIRECT("'SorP'!$A$"&amp;MATCH($J53,SorP!$B$1:$B$6230,0))))</f>
        <v>DE-BW</v>
      </c>
      <c r="U53" s="239"/>
      <c r="V53" s="269">
        <f>IF(C53="",NA(),MATCH($B53&amp;$C53,'Smelter Look-up'!$J:$J,0))</f>
        <v>86</v>
      </c>
      <c r="W53" s="270"/>
      <c r="X53" s="270">
        <f t="shared" si="1"/>
        <v>0</v>
      </c>
      <c r="Y53" s="270"/>
      <c r="Z53" s="270"/>
      <c r="AB53" s="272" t="str">
        <f t="shared" si="2"/>
        <v>GoldHeimerle + Meule GmbH</v>
      </c>
    </row>
    <row r="54" spans="1:28" s="271" customFormat="1" ht="30" customHeight="1">
      <c r="A54" s="215" t="s">
        <v>771</v>
      </c>
      <c r="B54" s="216" t="s">
        <v>1250</v>
      </c>
      <c r="C54" s="220" t="s">
        <v>3193</v>
      </c>
      <c r="D54" s="216"/>
      <c r="E54" s="216" t="s">
        <v>1220</v>
      </c>
      <c r="F54" s="216" t="s">
        <v>771</v>
      </c>
      <c r="G54" s="216" t="s">
        <v>14357</v>
      </c>
      <c r="H54" s="217">
        <v>0</v>
      </c>
      <c r="I54" s="218" t="s">
        <v>1826</v>
      </c>
      <c r="J54" s="218" t="s">
        <v>15475</v>
      </c>
      <c r="K54" s="267"/>
      <c r="L54" s="267"/>
      <c r="M54" s="267"/>
      <c r="N54" s="267"/>
      <c r="O54" s="267"/>
      <c r="P54" s="219"/>
      <c r="Q54" s="268"/>
      <c r="R54" s="216" t="str">
        <f ca="1">IF(ISERROR($V54),"",OFFSET('Smelter Look-up'!$C$4,$V54-4,0)&amp;"")</f>
        <v>Heraeus Metals Hong Kong Ltd.</v>
      </c>
      <c r="S54" s="224" t="str">
        <f t="shared" ca="1" si="0"/>
        <v>CN</v>
      </c>
      <c r="T54" s="224" t="str">
        <f ca="1">IF(B54="","",IF(ISERROR(MATCH($J54,SorP!$B$1:$B$6230,0)),"",INDIRECT("'SorP'!$A$"&amp;MATCH($J54,SorP!$B$1:$B$6230,0))))</f>
        <v>CN-HK</v>
      </c>
      <c r="U54" s="239"/>
      <c r="V54" s="269">
        <f>IF(C54="",NA(),MATCH($B54&amp;$C54,'Smelter Look-up'!$J:$J,0))</f>
        <v>91</v>
      </c>
      <c r="W54" s="270"/>
      <c r="X54" s="270">
        <f t="shared" si="1"/>
        <v>0</v>
      </c>
      <c r="Y54" s="270"/>
      <c r="Z54" s="270"/>
      <c r="AB54" s="272" t="str">
        <f t="shared" si="2"/>
        <v>GoldHeraeus Metals Hong Kong Ltd.</v>
      </c>
    </row>
    <row r="55" spans="1:28" s="271" customFormat="1" ht="30" customHeight="1">
      <c r="A55" s="215" t="s">
        <v>772</v>
      </c>
      <c r="B55" s="216" t="s">
        <v>1250</v>
      </c>
      <c r="C55" s="220" t="s">
        <v>1353</v>
      </c>
      <c r="D55" s="216"/>
      <c r="E55" s="216" t="s">
        <v>1221</v>
      </c>
      <c r="F55" s="216" t="s">
        <v>772</v>
      </c>
      <c r="G55" s="216" t="s">
        <v>14357</v>
      </c>
      <c r="H55" s="217">
        <v>0</v>
      </c>
      <c r="I55" s="218" t="s">
        <v>1827</v>
      </c>
      <c r="J55" s="218" t="s">
        <v>4944</v>
      </c>
      <c r="K55" s="267"/>
      <c r="L55" s="267"/>
      <c r="M55" s="267"/>
      <c r="N55" s="267"/>
      <c r="O55" s="267"/>
      <c r="P55" s="219"/>
      <c r="Q55" s="268"/>
      <c r="R55" s="216" t="str">
        <f ca="1">IF(ISERROR($V55),"",OFFSET('Smelter Look-up'!$C$4,$V55-4,0)&amp;"")</f>
        <v>Heraeus Precious Metals GmbH &amp; Co. KG</v>
      </c>
      <c r="S55" s="224" t="str">
        <f t="shared" ca="1" si="0"/>
        <v>DE</v>
      </c>
      <c r="T55" s="224" t="str">
        <f ca="1">IF(B55="","",IF(ISERROR(MATCH($J55,SorP!$B$1:$B$6230,0)),"",INDIRECT("'SorP'!$A$"&amp;MATCH($J55,SorP!$B$1:$B$6230,0))))</f>
        <v>DE-HE</v>
      </c>
      <c r="U55" s="239"/>
      <c r="V55" s="269">
        <f>IF(C55="",NA(),MATCH($B55&amp;$C55,'Smelter Look-up'!$J:$J,0))</f>
        <v>92</v>
      </c>
      <c r="W55" s="270"/>
      <c r="X55" s="270">
        <f t="shared" si="1"/>
        <v>0</v>
      </c>
      <c r="Y55" s="270"/>
      <c r="Z55" s="270"/>
      <c r="AB55" s="272" t="str">
        <f t="shared" si="2"/>
        <v>GoldHeraeus Precious Metals GmbH &amp; Co. KG</v>
      </c>
    </row>
    <row r="56" spans="1:28" s="271" customFormat="1" ht="30" customHeight="1">
      <c r="A56" s="215" t="s">
        <v>868</v>
      </c>
      <c r="B56" s="216" t="s">
        <v>1251</v>
      </c>
      <c r="C56" s="220" t="s">
        <v>2554</v>
      </c>
      <c r="D56" s="216"/>
      <c r="E56" s="216" t="s">
        <v>1220</v>
      </c>
      <c r="F56" s="216" t="s">
        <v>868</v>
      </c>
      <c r="G56" s="216" t="s">
        <v>14357</v>
      </c>
      <c r="H56" s="217">
        <v>0</v>
      </c>
      <c r="I56" s="218" t="s">
        <v>2024</v>
      </c>
      <c r="J56" s="218" t="s">
        <v>15233</v>
      </c>
      <c r="K56" s="267"/>
      <c r="L56" s="267"/>
      <c r="M56" s="267"/>
      <c r="N56" s="267"/>
      <c r="O56" s="267"/>
      <c r="P56" s="219"/>
      <c r="Q56" s="268"/>
      <c r="R56" s="216" t="str">
        <f ca="1">IF(ISERROR($V56),"",OFFSET('Smelter Look-up'!$C$4,$V56-4,0)&amp;"")</f>
        <v>Huichang Jinshunda Tin Co., Ltd.</v>
      </c>
      <c r="S56" s="224" t="str">
        <f t="shared" ca="1" si="0"/>
        <v>CN</v>
      </c>
      <c r="T56" s="224" t="str">
        <f ca="1">IF(B56="","",IF(ISERROR(MATCH($J56,SorP!$B$1:$B$6230,0)),"",INDIRECT("'SorP'!$A$"&amp;MATCH($J56,SorP!$B$1:$B$6230,0))))</f>
        <v>CN-JX</v>
      </c>
      <c r="U56" s="239"/>
      <c r="V56" s="269">
        <f>IF(C56="",NA(),MATCH($B56&amp;$C56,'Smelter Look-up'!$J:$J,0))</f>
        <v>404</v>
      </c>
      <c r="W56" s="270"/>
      <c r="X56" s="270">
        <f t="shared" si="1"/>
        <v>0</v>
      </c>
      <c r="Y56" s="270"/>
      <c r="Z56" s="270"/>
      <c r="AB56" s="272" t="str">
        <f t="shared" si="2"/>
        <v>TinHuichang Jinshunda Tin Co., Ltd.</v>
      </c>
    </row>
    <row r="57" spans="1:28" s="271" customFormat="1" ht="30" customHeight="1">
      <c r="A57" s="215" t="s">
        <v>906</v>
      </c>
      <c r="B57" s="216" t="s">
        <v>1253</v>
      </c>
      <c r="C57" s="220" t="s">
        <v>2647</v>
      </c>
      <c r="D57" s="216"/>
      <c r="E57" s="216" t="s">
        <v>1220</v>
      </c>
      <c r="F57" s="216" t="s">
        <v>906</v>
      </c>
      <c r="G57" s="216" t="s">
        <v>14357</v>
      </c>
      <c r="H57" s="217">
        <v>0</v>
      </c>
      <c r="I57" s="218" t="s">
        <v>2541</v>
      </c>
      <c r="J57" s="218" t="s">
        <v>15237</v>
      </c>
      <c r="K57" s="267"/>
      <c r="L57" s="267"/>
      <c r="M57" s="267"/>
      <c r="N57" s="267"/>
      <c r="O57" s="267"/>
      <c r="P57" s="219"/>
      <c r="Q57" s="268"/>
      <c r="R57" s="216" t="str">
        <f ca="1">IF(ISERROR($V57),"",OFFSET('Smelter Look-up'!$C$4,$V57-4,0)&amp;"")</f>
        <v>Hunan Chenzhou Mining Co., Ltd.</v>
      </c>
      <c r="S57" s="224" t="str">
        <f t="shared" ca="1" si="0"/>
        <v>CN</v>
      </c>
      <c r="T57" s="224" t="str">
        <f ca="1">IF(B57="","",IF(ISERROR(MATCH($J57,SorP!$B$1:$B$6230,0)),"",INDIRECT("'SorP'!$A$"&amp;MATCH($J57,SorP!$B$1:$B$6230,0))))</f>
        <v>CN-HN</v>
      </c>
      <c r="U57" s="239"/>
      <c r="V57" s="269">
        <f>IF(C57="",NA(),MATCH($B57&amp;$C57,'Smelter Look-up'!$J:$J,0))</f>
        <v>544</v>
      </c>
      <c r="W57" s="270"/>
      <c r="X57" s="270">
        <f t="shared" si="1"/>
        <v>0</v>
      </c>
      <c r="Y57" s="270"/>
      <c r="Z57" s="270"/>
      <c r="AB57" s="272" t="str">
        <f t="shared" si="2"/>
        <v>TungstenHunan Chenzhou Mining Co., Ltd.</v>
      </c>
    </row>
    <row r="58" spans="1:28" s="271" customFormat="1" ht="30" customHeight="1">
      <c r="A58" s="215" t="s">
        <v>907</v>
      </c>
      <c r="B58" s="216" t="s">
        <v>1253</v>
      </c>
      <c r="C58" s="220" t="s">
        <v>1513</v>
      </c>
      <c r="D58" s="216"/>
      <c r="E58" s="216" t="s">
        <v>1220</v>
      </c>
      <c r="F58" s="216" t="s">
        <v>907</v>
      </c>
      <c r="G58" s="216" t="s">
        <v>14357</v>
      </c>
      <c r="H58" s="217">
        <v>0</v>
      </c>
      <c r="I58" s="218" t="s">
        <v>1986</v>
      </c>
      <c r="J58" s="218" t="s">
        <v>15237</v>
      </c>
      <c r="K58" s="267"/>
      <c r="L58" s="267"/>
      <c r="M58" s="267"/>
      <c r="N58" s="267"/>
      <c r="O58" s="267"/>
      <c r="P58" s="219"/>
      <c r="Q58" s="268"/>
      <c r="R58" s="216" t="str">
        <f ca="1">IF(ISERROR($V58),"",OFFSET('Smelter Look-up'!$C$4,$V58-4,0)&amp;"")</f>
        <v>Hunan Chunchang Nonferrous Metals Co., Ltd.</v>
      </c>
      <c r="S58" s="224" t="str">
        <f t="shared" ca="1" si="0"/>
        <v>CN</v>
      </c>
      <c r="T58" s="224" t="str">
        <f ca="1">IF(B58="","",IF(ISERROR(MATCH($J58,SorP!$B$1:$B$6230,0)),"",INDIRECT("'SorP'!$A$"&amp;MATCH($J58,SorP!$B$1:$B$6230,0))))</f>
        <v>CN-HN</v>
      </c>
      <c r="U58" s="239"/>
      <c r="V58" s="269">
        <f>IF(C58="",NA(),MATCH($B58&amp;$C58,'Smelter Look-up'!$J:$J,0))</f>
        <v>547</v>
      </c>
      <c r="W58" s="270"/>
      <c r="X58" s="270">
        <f t="shared" si="1"/>
        <v>0</v>
      </c>
      <c r="Y58" s="270"/>
      <c r="Z58" s="270"/>
      <c r="AB58" s="272" t="str">
        <f t="shared" si="2"/>
        <v>TungstenHunan Chunchang Nonferrous Metals Co., Ltd.</v>
      </c>
    </row>
    <row r="59" spans="1:28" s="271" customFormat="1" ht="30" customHeight="1">
      <c r="A59" s="215" t="s">
        <v>775</v>
      </c>
      <c r="B59" s="216" t="s">
        <v>1250</v>
      </c>
      <c r="C59" s="220" t="s">
        <v>2922</v>
      </c>
      <c r="D59" s="216"/>
      <c r="E59" s="216" t="s">
        <v>1220</v>
      </c>
      <c r="F59" s="216" t="s">
        <v>775</v>
      </c>
      <c r="G59" s="216" t="s">
        <v>14357</v>
      </c>
      <c r="H59" s="217">
        <v>0</v>
      </c>
      <c r="I59" s="218" t="s">
        <v>1831</v>
      </c>
      <c r="J59" s="218" t="s">
        <v>15216</v>
      </c>
      <c r="K59" s="267"/>
      <c r="L59" s="267"/>
      <c r="M59" s="267"/>
      <c r="N59" s="267"/>
      <c r="O59" s="267"/>
      <c r="P59" s="219"/>
      <c r="Q59" s="268"/>
      <c r="R59" s="216" t="str">
        <f ca="1">IF(ISERROR($V59),"",OFFSET('Smelter Look-up'!$C$4,$V59-4,0)&amp;"")</f>
        <v>Inner Mongolia Qiankun Gold and Silver Refinery Share Co., Ltd.</v>
      </c>
      <c r="S59" s="224" t="str">
        <f t="shared" ca="1" si="0"/>
        <v>CN</v>
      </c>
      <c r="T59" s="224" t="str">
        <f ca="1">IF(B59="","",IF(ISERROR(MATCH($J59,SorP!$B$1:$B$6230,0)),"",INDIRECT("'SorP'!$A$"&amp;MATCH($J59,SorP!$B$1:$B$6230,0))))</f>
        <v>CN-NM</v>
      </c>
      <c r="U59" s="239"/>
      <c r="V59" s="269">
        <f>IF(C59="",NA(),MATCH($B59&amp;$C59,'Smelter Look-up'!$J:$J,0))</f>
        <v>99</v>
      </c>
      <c r="W59" s="270"/>
      <c r="X59" s="270">
        <f t="shared" si="1"/>
        <v>0</v>
      </c>
      <c r="Y59" s="270"/>
      <c r="Z59" s="270"/>
      <c r="AB59" s="272" t="str">
        <f t="shared" si="2"/>
        <v>GoldInner Mongolia Qiankun Gold and Silver Refinery Share Co., Ltd.</v>
      </c>
    </row>
    <row r="60" spans="1:28" s="271" customFormat="1" ht="30" customHeight="1">
      <c r="A60" s="215" t="s">
        <v>776</v>
      </c>
      <c r="B60" s="216" t="s">
        <v>1250</v>
      </c>
      <c r="C60" s="220" t="s">
        <v>1354</v>
      </c>
      <c r="D60" s="216"/>
      <c r="E60" s="216" t="s">
        <v>1228</v>
      </c>
      <c r="F60" s="216" t="s">
        <v>776</v>
      </c>
      <c r="G60" s="216" t="s">
        <v>14357</v>
      </c>
      <c r="H60" s="217">
        <v>0</v>
      </c>
      <c r="I60" s="218" t="s">
        <v>1832</v>
      </c>
      <c r="J60" s="218" t="s">
        <v>1818</v>
      </c>
      <c r="K60" s="267"/>
      <c r="L60" s="267"/>
      <c r="M60" s="267"/>
      <c r="N60" s="267"/>
      <c r="O60" s="267"/>
      <c r="P60" s="219"/>
      <c r="Q60" s="268"/>
      <c r="R60" s="216" t="str">
        <f ca="1">IF(ISERROR($V60),"",OFFSET('Smelter Look-up'!$C$4,$V60-4,0)&amp;"")</f>
        <v>Ishifuku Metal Industry Co., Ltd.</v>
      </c>
      <c r="S60" s="224" t="str">
        <f t="shared" ca="1" si="0"/>
        <v>JP</v>
      </c>
      <c r="T60" s="224" t="str">
        <f ca="1">IF(B60="","",IF(ISERROR(MATCH($J60,SorP!$B$1:$B$6230,0)),"",INDIRECT("'SorP'!$A$"&amp;MATCH($J60,SorP!$B$1:$B$6230,0))))</f>
        <v>JP-11</v>
      </c>
      <c r="U60" s="239"/>
      <c r="V60" s="269">
        <f>IF(C60="",NA(),MATCH($B60&amp;$C60,'Smelter Look-up'!$J:$J,0))</f>
        <v>101</v>
      </c>
      <c r="W60" s="270"/>
      <c r="X60" s="270">
        <f t="shared" si="1"/>
        <v>0</v>
      </c>
      <c r="Y60" s="270"/>
      <c r="Z60" s="270"/>
      <c r="AB60" s="272" t="str">
        <f t="shared" si="2"/>
        <v>GoldIshifuku Metal Industry Co., Ltd.</v>
      </c>
    </row>
    <row r="61" spans="1:28" s="271" customFormat="1" ht="30" customHeight="1">
      <c r="A61" s="215" t="s">
        <v>777</v>
      </c>
      <c r="B61" s="216" t="s">
        <v>1250</v>
      </c>
      <c r="C61" s="220" t="s">
        <v>1361</v>
      </c>
      <c r="D61" s="216"/>
      <c r="E61" s="216" t="s">
        <v>1005</v>
      </c>
      <c r="F61" s="216" t="s">
        <v>777</v>
      </c>
      <c r="G61" s="216" t="s">
        <v>14357</v>
      </c>
      <c r="H61" s="217">
        <v>0</v>
      </c>
      <c r="I61" s="218" t="s">
        <v>1833</v>
      </c>
      <c r="J61" s="218" t="s">
        <v>12140</v>
      </c>
      <c r="K61" s="267"/>
      <c r="L61" s="267"/>
      <c r="M61" s="267"/>
      <c r="N61" s="267"/>
      <c r="O61" s="267"/>
      <c r="P61" s="219"/>
      <c r="Q61" s="268"/>
      <c r="R61" s="216" t="str">
        <f ca="1">IF(ISERROR($V61),"",OFFSET('Smelter Look-up'!$C$4,$V61-4,0)&amp;"")</f>
        <v>Istanbul Gold Refinery</v>
      </c>
      <c r="S61" s="224" t="str">
        <f t="shared" ca="1" si="0"/>
        <v>TR</v>
      </c>
      <c r="T61" s="224" t="str">
        <f ca="1">IF(B61="","",IF(ISERROR(MATCH($J61,SorP!$B$1:$B$6230,0)),"",INDIRECT("'SorP'!$A$"&amp;MATCH($J61,SorP!$B$1:$B$6230,0))))</f>
        <v>TR-34</v>
      </c>
      <c r="U61" s="239"/>
      <c r="V61" s="269">
        <f>IF(C61="",NA(),MATCH($B61&amp;$C61,'Smelter Look-up'!$J:$J,0))</f>
        <v>102</v>
      </c>
      <c r="W61" s="270"/>
      <c r="X61" s="270">
        <f t="shared" si="1"/>
        <v>0</v>
      </c>
      <c r="Y61" s="270"/>
      <c r="Z61" s="270"/>
      <c r="AB61" s="272" t="str">
        <f t="shared" si="2"/>
        <v>GoldIstanbul Gold Refinery</v>
      </c>
    </row>
    <row r="62" spans="1:28" s="271" customFormat="1" ht="30" customHeight="1">
      <c r="A62" s="215" t="s">
        <v>778</v>
      </c>
      <c r="B62" s="216" t="s">
        <v>1250</v>
      </c>
      <c r="C62" s="220" t="s">
        <v>1024</v>
      </c>
      <c r="D62" s="216"/>
      <c r="E62" s="216" t="s">
        <v>1228</v>
      </c>
      <c r="F62" s="216" t="s">
        <v>778</v>
      </c>
      <c r="G62" s="216" t="s">
        <v>14357</v>
      </c>
      <c r="H62" s="217">
        <v>0</v>
      </c>
      <c r="I62" s="218" t="s">
        <v>1834</v>
      </c>
      <c r="J62" s="218" t="s">
        <v>1834</v>
      </c>
      <c r="K62" s="267"/>
      <c r="L62" s="267"/>
      <c r="M62" s="267"/>
      <c r="N62" s="267"/>
      <c r="O62" s="267"/>
      <c r="P62" s="219"/>
      <c r="Q62" s="268"/>
      <c r="R62" s="216" t="str">
        <f ca="1">IF(ISERROR($V62),"",OFFSET('Smelter Look-up'!$C$4,$V62-4,0)&amp;"")</f>
        <v>Japan Mint</v>
      </c>
      <c r="S62" s="224" t="str">
        <f t="shared" ca="1" si="0"/>
        <v>JP</v>
      </c>
      <c r="T62" s="224" t="str">
        <f ca="1">IF(B62="","",IF(ISERROR(MATCH($J62,SorP!$B$1:$B$6230,0)),"",INDIRECT("'SorP'!$A$"&amp;MATCH($J62,SorP!$B$1:$B$6230,0))))</f>
        <v>JP-27</v>
      </c>
      <c r="U62" s="239"/>
      <c r="V62" s="269">
        <f>IF(C62="",NA(),MATCH($B62&amp;$C62,'Smelter Look-up'!$J:$J,0))</f>
        <v>104</v>
      </c>
      <c r="W62" s="270"/>
      <c r="X62" s="270">
        <f t="shared" si="1"/>
        <v>0</v>
      </c>
      <c r="Y62" s="270"/>
      <c r="Z62" s="270"/>
      <c r="AB62" s="272" t="str">
        <f t="shared" si="2"/>
        <v>GoldJapan Mint</v>
      </c>
    </row>
    <row r="63" spans="1:28" s="271" customFormat="1" ht="30" customHeight="1">
      <c r="A63" s="215" t="s">
        <v>908</v>
      </c>
      <c r="B63" s="216" t="s">
        <v>1253</v>
      </c>
      <c r="C63" s="220" t="s">
        <v>1514</v>
      </c>
      <c r="D63" s="216"/>
      <c r="E63" s="216" t="s">
        <v>1228</v>
      </c>
      <c r="F63" s="216" t="s">
        <v>908</v>
      </c>
      <c r="G63" s="216" t="s">
        <v>14357</v>
      </c>
      <c r="H63" s="217">
        <v>0</v>
      </c>
      <c r="I63" s="218" t="s">
        <v>2542</v>
      </c>
      <c r="J63" s="218" t="s">
        <v>1813</v>
      </c>
      <c r="K63" s="267"/>
      <c r="L63" s="267"/>
      <c r="M63" s="267"/>
      <c r="N63" s="267"/>
      <c r="O63" s="267"/>
      <c r="P63" s="219"/>
      <c r="Q63" s="268"/>
      <c r="R63" s="216" t="str">
        <f ca="1">IF(ISERROR($V63),"",OFFSET('Smelter Look-up'!$C$4,$V63-4,0)&amp;"")</f>
        <v>Japan New Metals Co., Ltd.</v>
      </c>
      <c r="S63" s="224" t="str">
        <f t="shared" ca="1" si="0"/>
        <v>JP</v>
      </c>
      <c r="T63" s="224" t="str">
        <f ca="1">IF(B63="","",IF(ISERROR(MATCH($J63,SorP!$B$1:$B$6230,0)),"",INDIRECT("'SorP'!$A$"&amp;MATCH($J63,SorP!$B$1:$B$6230,0))))</f>
        <v>JP-05</v>
      </c>
      <c r="U63" s="239"/>
      <c r="V63" s="269">
        <f>IF(C63="",NA(),MATCH($B63&amp;$C63,'Smelter Look-up'!$J:$J,0))</f>
        <v>550</v>
      </c>
      <c r="W63" s="270"/>
      <c r="X63" s="270">
        <f t="shared" si="1"/>
        <v>0</v>
      </c>
      <c r="Y63" s="270"/>
      <c r="Z63" s="270"/>
      <c r="AB63" s="272" t="str">
        <f t="shared" si="2"/>
        <v>TungstenJapan New Metals Co., Ltd.</v>
      </c>
    </row>
    <row r="64" spans="1:28" s="271" customFormat="1" ht="30" customHeight="1">
      <c r="A64" s="215" t="s">
        <v>779</v>
      </c>
      <c r="B64" s="216" t="s">
        <v>1250</v>
      </c>
      <c r="C64" s="220" t="s">
        <v>2923</v>
      </c>
      <c r="D64" s="216"/>
      <c r="E64" s="216" t="s">
        <v>1220</v>
      </c>
      <c r="F64" s="216" t="s">
        <v>779</v>
      </c>
      <c r="G64" s="216" t="s">
        <v>14357</v>
      </c>
      <c r="H64" s="217">
        <v>0</v>
      </c>
      <c r="I64" s="218" t="s">
        <v>1835</v>
      </c>
      <c r="J64" s="218" t="s">
        <v>15233</v>
      </c>
      <c r="K64" s="267"/>
      <c r="L64" s="267"/>
      <c r="M64" s="267"/>
      <c r="N64" s="267"/>
      <c r="O64" s="267"/>
      <c r="P64" s="219"/>
      <c r="Q64" s="268"/>
      <c r="R64" s="216" t="str">
        <f ca="1">IF(ISERROR($V64),"",OFFSET('Smelter Look-up'!$C$4,$V64-4,0)&amp;"")</f>
        <v>Jiangxi Copper Co., Ltd.</v>
      </c>
      <c r="S64" s="224" t="str">
        <f t="shared" ca="1" si="0"/>
        <v>CN</v>
      </c>
      <c r="T64" s="224" t="str">
        <f ca="1">IF(B64="","",IF(ISERROR(MATCH($J64,SorP!$B$1:$B$6230,0)),"",INDIRECT("'SorP'!$A$"&amp;MATCH($J64,SorP!$B$1:$B$6230,0))))</f>
        <v>CN-JX</v>
      </c>
      <c r="U64" s="239"/>
      <c r="V64" s="269">
        <f>IF(C64="",NA(),MATCH($B64&amp;$C64,'Smelter Look-up'!$J:$J,0))</f>
        <v>106</v>
      </c>
      <c r="W64" s="270"/>
      <c r="X64" s="270">
        <f t="shared" si="1"/>
        <v>0</v>
      </c>
      <c r="Y64" s="270"/>
      <c r="Z64" s="270"/>
      <c r="AB64" s="272" t="str">
        <f t="shared" si="2"/>
        <v>GoldJiangxi Copper Co., Ltd.</v>
      </c>
    </row>
    <row r="65" spans="1:28" s="271" customFormat="1" ht="30" customHeight="1">
      <c r="A65" s="215" t="s">
        <v>909</v>
      </c>
      <c r="B65" s="216" t="s">
        <v>1253</v>
      </c>
      <c r="C65" s="220" t="s">
        <v>159</v>
      </c>
      <c r="D65" s="216"/>
      <c r="E65" s="216" t="s">
        <v>1220</v>
      </c>
      <c r="F65" s="216" t="s">
        <v>909</v>
      </c>
      <c r="G65" s="216" t="s">
        <v>14357</v>
      </c>
      <c r="H65" s="217">
        <v>0</v>
      </c>
      <c r="I65" s="218" t="s">
        <v>2024</v>
      </c>
      <c r="J65" s="218" t="s">
        <v>15233</v>
      </c>
      <c r="K65" s="267"/>
      <c r="L65" s="267"/>
      <c r="M65" s="267"/>
      <c r="N65" s="267"/>
      <c r="O65" s="267"/>
      <c r="P65" s="219"/>
      <c r="Q65" s="268"/>
      <c r="R65" s="216" t="str">
        <f ca="1">IF(ISERROR($V65),"",OFFSET('Smelter Look-up'!$C$4,$V65-4,0)&amp;"")</f>
        <v>Ganzhou Huaxing Tungsten Products Co., Ltd.</v>
      </c>
      <c r="S65" s="224" t="str">
        <f t="shared" ca="1" si="0"/>
        <v>CN</v>
      </c>
      <c r="T65" s="224" t="str">
        <f ca="1">IF(B65="","",IF(ISERROR(MATCH($J65,SorP!$B$1:$B$6230,0)),"",INDIRECT("'SorP'!$A$"&amp;MATCH($J65,SorP!$B$1:$B$6230,0))))</f>
        <v>CN-JX</v>
      </c>
      <c r="U65" s="239"/>
      <c r="V65" s="269">
        <f>IF(C65="",NA(),MATCH($B65&amp;$C65,'Smelter Look-up'!$J:$J,0))</f>
        <v>534</v>
      </c>
      <c r="W65" s="270"/>
      <c r="X65" s="270">
        <f t="shared" si="1"/>
        <v>0</v>
      </c>
      <c r="Y65" s="270"/>
      <c r="Z65" s="270"/>
      <c r="AB65" s="272" t="str">
        <f t="shared" si="2"/>
        <v>TungstenGanzhou Huaxing Tungsten Products Co., Ltd.</v>
      </c>
    </row>
    <row r="66" spans="1:28" s="271" customFormat="1" ht="23.25" customHeight="1">
      <c r="A66" s="215" t="s">
        <v>846</v>
      </c>
      <c r="B66" s="216" t="s">
        <v>1252</v>
      </c>
      <c r="C66" s="220" t="s">
        <v>5</v>
      </c>
      <c r="D66" s="216"/>
      <c r="E66" s="216" t="s">
        <v>1220</v>
      </c>
      <c r="F66" s="216" t="s">
        <v>846</v>
      </c>
      <c r="G66" s="216" t="s">
        <v>14357</v>
      </c>
      <c r="H66" s="217">
        <v>0</v>
      </c>
      <c r="I66" s="218" t="s">
        <v>1965</v>
      </c>
      <c r="J66" s="218" t="s">
        <v>15233</v>
      </c>
      <c r="K66" s="267"/>
      <c r="L66" s="267"/>
      <c r="M66" s="267"/>
      <c r="N66" s="267"/>
      <c r="O66" s="267"/>
      <c r="P66" s="219"/>
      <c r="Q66" s="268"/>
      <c r="R66" s="216" t="str">
        <f ca="1">IF(ISERROR($V66),"",OFFSET('Smelter Look-up'!$C$4,$V66-4,0)&amp;"")</f>
        <v>JiuJiang JinXin Nonferrous Metals Co., Ltd.</v>
      </c>
      <c r="S66" s="224" t="str">
        <f t="shared" ca="1" si="0"/>
        <v>CN</v>
      </c>
      <c r="T66" s="224" t="str">
        <f ca="1">IF(B66="","",IF(ISERROR(MATCH($J66,SorP!$B$1:$B$6230,0)),"",INDIRECT("'SorP'!$A$"&amp;MATCH($J66,SorP!$B$1:$B$6230,0))))</f>
        <v>CN-JX</v>
      </c>
      <c r="U66" s="239"/>
      <c r="V66" s="269">
        <f>IF(C66="",NA(),MATCH($B66&amp;$C66,'Smelter Look-up'!$J:$J,0))</f>
        <v>310</v>
      </c>
      <c r="W66" s="270"/>
      <c r="X66" s="270">
        <f t="shared" si="1"/>
        <v>0</v>
      </c>
      <c r="Y66" s="270"/>
      <c r="Z66" s="270"/>
      <c r="AB66" s="272" t="str">
        <f t="shared" si="2"/>
        <v>TantalumJiuJiang JinXin Nonferrous Metals Co., Ltd.</v>
      </c>
    </row>
    <row r="67" spans="1:28" s="271" customFormat="1" ht="23.25" customHeight="1">
      <c r="A67" s="215" t="s">
        <v>847</v>
      </c>
      <c r="B67" s="216" t="s">
        <v>1252</v>
      </c>
      <c r="C67" s="220" t="s">
        <v>50</v>
      </c>
      <c r="D67" s="216"/>
      <c r="E67" s="216" t="s">
        <v>1220</v>
      </c>
      <c r="F67" s="216" t="s">
        <v>847</v>
      </c>
      <c r="G67" s="216" t="s">
        <v>14357</v>
      </c>
      <c r="H67" s="217">
        <v>0</v>
      </c>
      <c r="I67" s="218" t="s">
        <v>1965</v>
      </c>
      <c r="J67" s="218" t="s">
        <v>15233</v>
      </c>
      <c r="K67" s="267"/>
      <c r="L67" s="267"/>
      <c r="M67" s="267"/>
      <c r="N67" s="267"/>
      <c r="O67" s="267"/>
      <c r="P67" s="219"/>
      <c r="Q67" s="268"/>
      <c r="R67" s="216" t="str">
        <f ca="1">IF(ISERROR($V67),"",OFFSET('Smelter Look-up'!$C$4,$V67-4,0)&amp;"")</f>
        <v>Jiujiang Tanbre Co., Ltd.</v>
      </c>
      <c r="S67" s="224" t="str">
        <f t="shared" ca="1" si="0"/>
        <v>CN</v>
      </c>
      <c r="T67" s="224" t="str">
        <f ca="1">IF(B67="","",IF(ISERROR(MATCH($J67,SorP!$B$1:$B$6230,0)),"",INDIRECT("'SorP'!$A$"&amp;MATCH($J67,SorP!$B$1:$B$6230,0))))</f>
        <v>CN-JX</v>
      </c>
      <c r="U67" s="239"/>
      <c r="V67" s="269">
        <f>IF(C67="",NA(),MATCH($B67&amp;$C67,'Smelter Look-up'!$J:$J,0))</f>
        <v>312</v>
      </c>
      <c r="W67" s="270"/>
      <c r="X67" s="270">
        <f t="shared" si="1"/>
        <v>0</v>
      </c>
      <c r="Y67" s="270"/>
      <c r="Z67" s="270"/>
      <c r="AB67" s="272" t="str">
        <f t="shared" si="2"/>
        <v>TantalumJiujiang Tanbre Co., Ltd.</v>
      </c>
    </row>
    <row r="68" spans="1:28" s="271" customFormat="1" ht="23.25" customHeight="1">
      <c r="A68" s="215" t="s">
        <v>780</v>
      </c>
      <c r="B68" s="216" t="s">
        <v>1250</v>
      </c>
      <c r="C68" s="220" t="s">
        <v>2630</v>
      </c>
      <c r="D68" s="216"/>
      <c r="E68" s="216" t="s">
        <v>3092</v>
      </c>
      <c r="F68" s="216" t="s">
        <v>780</v>
      </c>
      <c r="G68" s="216" t="s">
        <v>14357</v>
      </c>
      <c r="H68" s="217">
        <v>0</v>
      </c>
      <c r="I68" s="218" t="s">
        <v>1837</v>
      </c>
      <c r="J68" s="218" t="s">
        <v>1838</v>
      </c>
      <c r="K68" s="267"/>
      <c r="L68" s="267"/>
      <c r="M68" s="267"/>
      <c r="N68" s="267"/>
      <c r="O68" s="267"/>
      <c r="P68" s="219"/>
      <c r="Q68" s="268"/>
      <c r="R68" s="216" t="str">
        <f ca="1">IF(ISERROR($V68),"",OFFSET('Smelter Look-up'!$C$4,$V68-4,0)&amp;"")</f>
        <v>Asahi Refining USA Inc.</v>
      </c>
      <c r="S68" s="224" t="str">
        <f t="shared" ca="1" si="0"/>
        <v>US</v>
      </c>
      <c r="T68" s="224" t="str">
        <f ca="1">IF(B68="","",IF(ISERROR(MATCH($J68,SorP!$B$1:$B$6230,0)),"",INDIRECT("'SorP'!$A$"&amp;MATCH($J68,SorP!$B$1:$B$6230,0))))</f>
        <v>US-UT</v>
      </c>
      <c r="U68" s="239"/>
      <c r="V68" s="269">
        <f>IF(C68="",NA(),MATCH($B68&amp;$C68,'Smelter Look-up'!$J:$J,0))</f>
        <v>26</v>
      </c>
      <c r="W68" s="270"/>
      <c r="X68" s="270">
        <f t="shared" si="1"/>
        <v>0</v>
      </c>
      <c r="Y68" s="270"/>
      <c r="Z68" s="270"/>
      <c r="AB68" s="272" t="str">
        <f t="shared" si="2"/>
        <v>GoldAsahi Refining USA Inc.</v>
      </c>
    </row>
    <row r="69" spans="1:28" s="271" customFormat="1" ht="23.25" customHeight="1">
      <c r="A69" s="215" t="s">
        <v>781</v>
      </c>
      <c r="B69" s="216" t="s">
        <v>1250</v>
      </c>
      <c r="C69" s="220" t="s">
        <v>2908</v>
      </c>
      <c r="D69" s="216"/>
      <c r="E69" s="216" t="s">
        <v>1217</v>
      </c>
      <c r="F69" s="216" t="s">
        <v>781</v>
      </c>
      <c r="G69" s="216" t="s">
        <v>14357</v>
      </c>
      <c r="H69" s="217">
        <v>0</v>
      </c>
      <c r="I69" s="218" t="s">
        <v>1840</v>
      </c>
      <c r="J69" s="218" t="s">
        <v>1841</v>
      </c>
      <c r="K69" s="267"/>
      <c r="L69" s="267"/>
      <c r="M69" s="267"/>
      <c r="N69" s="267"/>
      <c r="O69" s="267"/>
      <c r="P69" s="219"/>
      <c r="Q69" s="268"/>
      <c r="R69" s="216" t="str">
        <f ca="1">IF(ISERROR($V69),"",OFFSET('Smelter Look-up'!$C$4,$V69-4,0)&amp;"")</f>
        <v>Asahi Refining Canada Ltd.</v>
      </c>
      <c r="S69" s="224" t="str">
        <f t="shared" ref="S69:S132" ca="1" si="3">IF(B69="","",IF(ISERROR(MATCH($E69,CL,0)),"Unknown",INDIRECT("'C'!$A$"&amp;MATCH($E69,CL,0)+1)))</f>
        <v>CA</v>
      </c>
      <c r="T69" s="224" t="str">
        <f ca="1">IF(B69="","",IF(ISERROR(MATCH($J69,SorP!$B$1:$B$6230,0)),"",INDIRECT("'SorP'!$A$"&amp;MATCH($J69,SorP!$B$1:$B$6230,0))))</f>
        <v>CA-ON</v>
      </c>
      <c r="U69" s="239"/>
      <c r="V69" s="269">
        <f>IF(C69="",NA(),MATCH($B69&amp;$C69,'Smelter Look-up'!$J:$J,0))</f>
        <v>25</v>
      </c>
      <c r="W69" s="270"/>
      <c r="X69" s="270">
        <f t="shared" ref="X69:X132" si="4">IF(AND(C69="Smelter not listed",OR(LEN(D69)=0,LEN(E69)=0)),1,0)</f>
        <v>0</v>
      </c>
      <c r="Y69" s="270"/>
      <c r="Z69" s="270"/>
      <c r="AB69" s="272" t="str">
        <f t="shared" ref="AB69:AB132" si="5">B69&amp;C69</f>
        <v>GoldAsahi Refining Canada Ltd.</v>
      </c>
    </row>
    <row r="70" spans="1:28" s="271" customFormat="1" ht="23.25" customHeight="1">
      <c r="A70" s="215" t="s">
        <v>783</v>
      </c>
      <c r="B70" s="216" t="s">
        <v>1250</v>
      </c>
      <c r="C70" s="220" t="s">
        <v>1550</v>
      </c>
      <c r="D70" s="216"/>
      <c r="E70" s="216" t="s">
        <v>999</v>
      </c>
      <c r="F70" s="216" t="s">
        <v>783</v>
      </c>
      <c r="G70" s="216" t="s">
        <v>14357</v>
      </c>
      <c r="H70" s="217">
        <v>0</v>
      </c>
      <c r="I70" s="218" t="s">
        <v>1842</v>
      </c>
      <c r="J70" s="218" t="s">
        <v>10815</v>
      </c>
      <c r="K70" s="267"/>
      <c r="L70" s="267"/>
      <c r="M70" s="267"/>
      <c r="N70" s="267"/>
      <c r="O70" s="267"/>
      <c r="P70" s="219"/>
      <c r="Q70" s="268"/>
      <c r="R70" s="216" t="str">
        <f ca="1">IF(ISERROR($V70),"",OFFSET('Smelter Look-up'!$C$4,$V70-4,0)&amp;"")</f>
        <v>JSC Uralelectromed</v>
      </c>
      <c r="S70" s="224" t="str">
        <f t="shared" ca="1" si="3"/>
        <v>RU</v>
      </c>
      <c r="T70" s="224" t="str">
        <f ca="1">IF(B70="","",IF(ISERROR(MATCH($J70,SorP!$B$1:$B$6230,0)),"",INDIRECT("'SorP'!$A$"&amp;MATCH($J70,SorP!$B$1:$B$6230,0))))</f>
        <v>RU-SVE</v>
      </c>
      <c r="U70" s="239"/>
      <c r="V70" s="269">
        <f>IF(C70="",NA(),MATCH($B70&amp;$C70,'Smelter Look-up'!$J:$J,0))</f>
        <v>112</v>
      </c>
      <c r="W70" s="270"/>
      <c r="X70" s="270">
        <f t="shared" si="4"/>
        <v>0</v>
      </c>
      <c r="Y70" s="270"/>
      <c r="Z70" s="270"/>
      <c r="AB70" s="272" t="str">
        <f t="shared" si="5"/>
        <v>GoldJSC Uralelectromed</v>
      </c>
    </row>
    <row r="71" spans="1:28" s="271" customFormat="1" ht="23.25" customHeight="1">
      <c r="A71" s="215" t="s">
        <v>784</v>
      </c>
      <c r="B71" s="216" t="s">
        <v>1250</v>
      </c>
      <c r="C71" s="220" t="s">
        <v>59</v>
      </c>
      <c r="D71" s="216"/>
      <c r="E71" s="216" t="s">
        <v>1228</v>
      </c>
      <c r="F71" s="216" t="s">
        <v>784</v>
      </c>
      <c r="G71" s="216" t="s">
        <v>14357</v>
      </c>
      <c r="H71" s="217">
        <v>0</v>
      </c>
      <c r="I71" s="218" t="s">
        <v>3000</v>
      </c>
      <c r="J71" s="218" t="s">
        <v>7432</v>
      </c>
      <c r="K71" s="267"/>
      <c r="L71" s="267"/>
      <c r="M71" s="267"/>
      <c r="N71" s="267"/>
      <c r="O71" s="267"/>
      <c r="P71" s="219"/>
      <c r="Q71" s="268"/>
      <c r="R71" s="216" t="str">
        <f ca="1">IF(ISERROR($V71),"",OFFSET('Smelter Look-up'!$C$4,$V71-4,0)&amp;"")</f>
        <v>JX Nippon Mining &amp; Metals Co., Ltd.</v>
      </c>
      <c r="S71" s="224" t="str">
        <f t="shared" ca="1" si="3"/>
        <v>JP</v>
      </c>
      <c r="T71" s="224" t="str">
        <f ca="1">IF(B71="","",IF(ISERROR(MATCH($J71,SorP!$B$1:$B$6230,0)),"",INDIRECT("'SorP'!$A$"&amp;MATCH($J71,SorP!$B$1:$B$6230,0))))</f>
        <v>JP-44</v>
      </c>
      <c r="U71" s="239"/>
      <c r="V71" s="269">
        <f>IF(C71="",NA(),MATCH($B71&amp;$C71,'Smelter Look-up'!$J:$J,0))</f>
        <v>113</v>
      </c>
      <c r="W71" s="270"/>
      <c r="X71" s="270">
        <f t="shared" si="4"/>
        <v>0</v>
      </c>
      <c r="Y71" s="270"/>
      <c r="Z71" s="270"/>
      <c r="AB71" s="272" t="str">
        <f t="shared" si="5"/>
        <v>GoldJX Nippon Mining &amp; Metals Co., Ltd.</v>
      </c>
    </row>
    <row r="72" spans="1:28" s="271" customFormat="1" ht="23.25" customHeight="1">
      <c r="A72" s="215" t="s">
        <v>869</v>
      </c>
      <c r="B72" s="216" t="s">
        <v>1251</v>
      </c>
      <c r="C72" s="220" t="s">
        <v>1570</v>
      </c>
      <c r="D72" s="216"/>
      <c r="E72" s="216" t="s">
        <v>1220</v>
      </c>
      <c r="F72" s="216" t="s">
        <v>869</v>
      </c>
      <c r="G72" s="216" t="s">
        <v>14357</v>
      </c>
      <c r="H72" s="217">
        <v>0</v>
      </c>
      <c r="I72" s="218" t="s">
        <v>3109</v>
      </c>
      <c r="J72" s="218" t="s">
        <v>15242</v>
      </c>
      <c r="K72" s="267"/>
      <c r="L72" s="267"/>
      <c r="M72" s="267"/>
      <c r="N72" s="267"/>
      <c r="O72" s="267"/>
      <c r="P72" s="219"/>
      <c r="Q72" s="268"/>
      <c r="R72" s="216" t="str">
        <f ca="1">IF(ISERROR($V72),"",OFFSET('Smelter Look-up'!$C$4,$V72-4,0)&amp;"")</f>
        <v>Gejiu Kai Meng Industry and Trade LLC</v>
      </c>
      <c r="S72" s="224" t="str">
        <f t="shared" ca="1" si="3"/>
        <v>CN</v>
      </c>
      <c r="T72" s="224" t="str">
        <f ca="1">IF(B72="","",IF(ISERROR(MATCH($J72,SorP!$B$1:$B$6230,0)),"",INDIRECT("'SorP'!$A$"&amp;MATCH($J72,SorP!$B$1:$B$6230,0))))</f>
        <v>CN-YN</v>
      </c>
      <c r="U72" s="239"/>
      <c r="V72" s="269">
        <f>IF(C72="",NA(),MATCH($B72&amp;$C72,'Smelter Look-up'!$J:$J,0))</f>
        <v>392</v>
      </c>
      <c r="W72" s="270"/>
      <c r="X72" s="270">
        <f t="shared" si="4"/>
        <v>0</v>
      </c>
      <c r="Y72" s="270"/>
      <c r="Z72" s="270"/>
      <c r="AB72" s="272" t="str">
        <f t="shared" si="5"/>
        <v>TinGejiu Kai Meng Industry and Trade LLC</v>
      </c>
    </row>
    <row r="73" spans="1:28" s="271" customFormat="1" ht="23.25" customHeight="1">
      <c r="A73" s="215" t="s">
        <v>785</v>
      </c>
      <c r="B73" s="216" t="s">
        <v>1250</v>
      </c>
      <c r="C73" s="220" t="s">
        <v>1843</v>
      </c>
      <c r="D73" s="216"/>
      <c r="E73" s="216" t="s">
        <v>1229</v>
      </c>
      <c r="F73" s="216" t="s">
        <v>785</v>
      </c>
      <c r="G73" s="216" t="s">
        <v>14357</v>
      </c>
      <c r="H73" s="217">
        <v>0</v>
      </c>
      <c r="I73" s="218" t="s">
        <v>1844</v>
      </c>
      <c r="J73" s="218" t="s">
        <v>7826</v>
      </c>
      <c r="K73" s="267"/>
      <c r="L73" s="267"/>
      <c r="M73" s="267"/>
      <c r="N73" s="267"/>
      <c r="O73" s="267"/>
      <c r="P73" s="219"/>
      <c r="Q73" s="268"/>
      <c r="R73" s="216" t="str">
        <f ca="1">IF(ISERROR($V73),"",OFFSET('Smelter Look-up'!$C$4,$V73-4,0)&amp;"")</f>
        <v>Kazzinc</v>
      </c>
      <c r="S73" s="224" t="str">
        <f t="shared" ca="1" si="3"/>
        <v>KZ</v>
      </c>
      <c r="T73" s="224" t="str">
        <f ca="1">IF(B73="","",IF(ISERROR(MATCH($J73,SorP!$B$1:$B$6230,0)),"",INDIRECT("'SorP'!$A$"&amp;MATCH($J73,SorP!$B$1:$B$6230,0))))</f>
        <v>KZ-KAR</v>
      </c>
      <c r="U73" s="239"/>
      <c r="V73" s="269">
        <f>IF(C73="",NA(),MATCH($B73&amp;$C73,'Smelter Look-up'!$J:$J,0))</f>
        <v>116</v>
      </c>
      <c r="W73" s="270"/>
      <c r="X73" s="270">
        <f t="shared" si="4"/>
        <v>0</v>
      </c>
      <c r="Y73" s="270"/>
      <c r="Z73" s="270"/>
      <c r="AB73" s="272" t="str">
        <f t="shared" si="5"/>
        <v>GoldKazzinc</v>
      </c>
    </row>
    <row r="74" spans="1:28" s="271" customFormat="1" ht="23.25" customHeight="1">
      <c r="A74" s="215" t="s">
        <v>910</v>
      </c>
      <c r="B74" s="216" t="s">
        <v>1253</v>
      </c>
      <c r="C74" s="220" t="s">
        <v>160</v>
      </c>
      <c r="D74" s="216"/>
      <c r="E74" s="216" t="s">
        <v>3092</v>
      </c>
      <c r="F74" s="216" t="s">
        <v>910</v>
      </c>
      <c r="G74" s="216" t="s">
        <v>14357</v>
      </c>
      <c r="H74" s="217">
        <v>0</v>
      </c>
      <c r="I74" s="218" t="s">
        <v>2088</v>
      </c>
      <c r="J74" s="218" t="s">
        <v>2004</v>
      </c>
      <c r="K74" s="267"/>
      <c r="L74" s="267"/>
      <c r="M74" s="267"/>
      <c r="N74" s="267"/>
      <c r="O74" s="267"/>
      <c r="P74" s="219"/>
      <c r="Q74" s="268"/>
      <c r="R74" s="216" t="str">
        <f ca="1">IF(ISERROR($V74),"",OFFSET('Smelter Look-up'!$C$4,$V74-4,0)&amp;"")</f>
        <v>Kennametal Fallon</v>
      </c>
      <c r="S74" s="224" t="str">
        <f t="shared" ca="1" si="3"/>
        <v>US</v>
      </c>
      <c r="T74" s="224" t="str">
        <f ca="1">IF(B74="","",IF(ISERROR(MATCH($J74,SorP!$B$1:$B$6230,0)),"",INDIRECT("'SorP'!$A$"&amp;MATCH($J74,SorP!$B$1:$B$6230,0))))</f>
        <v>US-NV</v>
      </c>
      <c r="U74" s="239"/>
      <c r="V74" s="269">
        <f>IF(C74="",NA(),MATCH($B74&amp;$C74,'Smelter Look-up'!$J:$J,0))</f>
        <v>561</v>
      </c>
      <c r="W74" s="270"/>
      <c r="X74" s="270">
        <f t="shared" si="4"/>
        <v>0</v>
      </c>
      <c r="Y74" s="270"/>
      <c r="Z74" s="270"/>
      <c r="AB74" s="272" t="str">
        <f t="shared" si="5"/>
        <v>TungstenKennametal Fallon</v>
      </c>
    </row>
    <row r="75" spans="1:28" s="271" customFormat="1" ht="23.25" customHeight="1">
      <c r="A75" s="215" t="s">
        <v>787</v>
      </c>
      <c r="B75" s="216" t="s">
        <v>1250</v>
      </c>
      <c r="C75" s="220" t="s">
        <v>786</v>
      </c>
      <c r="D75" s="216"/>
      <c r="E75" s="216" t="s">
        <v>3092</v>
      </c>
      <c r="F75" s="216" t="s">
        <v>787</v>
      </c>
      <c r="G75" s="216" t="s">
        <v>14357</v>
      </c>
      <c r="H75" s="217">
        <v>0</v>
      </c>
      <c r="I75" s="218" t="s">
        <v>1845</v>
      </c>
      <c r="J75" s="218" t="s">
        <v>1838</v>
      </c>
      <c r="K75" s="267"/>
      <c r="L75" s="267"/>
      <c r="M75" s="267"/>
      <c r="N75" s="267"/>
      <c r="O75" s="267"/>
      <c r="P75" s="219"/>
      <c r="Q75" s="268"/>
      <c r="R75" s="216" t="str">
        <f ca="1">IF(ISERROR($V75),"",OFFSET('Smelter Look-up'!$C$4,$V75-4,0)&amp;"")</f>
        <v>Kennecott Utah Copper LLC</v>
      </c>
      <c r="S75" s="224" t="str">
        <f t="shared" ca="1" si="3"/>
        <v>US</v>
      </c>
      <c r="T75" s="224" t="str">
        <f ca="1">IF(B75="","",IF(ISERROR(MATCH($J75,SorP!$B$1:$B$6230,0)),"",INDIRECT("'SorP'!$A$"&amp;MATCH($J75,SorP!$B$1:$B$6230,0))))</f>
        <v>US-UT</v>
      </c>
      <c r="U75" s="239"/>
      <c r="V75" s="269">
        <f>IF(C75="",NA(),MATCH($B75&amp;$C75,'Smelter Look-up'!$J:$J,0))</f>
        <v>117</v>
      </c>
      <c r="W75" s="270"/>
      <c r="X75" s="270">
        <f t="shared" si="4"/>
        <v>0</v>
      </c>
      <c r="Y75" s="270"/>
      <c r="Z75" s="270"/>
      <c r="AB75" s="272" t="str">
        <f t="shared" si="5"/>
        <v>GoldKennecott Utah Copper LLC</v>
      </c>
    </row>
    <row r="76" spans="1:28" s="271" customFormat="1" ht="23.25" customHeight="1">
      <c r="A76" s="215" t="s">
        <v>788</v>
      </c>
      <c r="B76" s="216" t="s">
        <v>1250</v>
      </c>
      <c r="C76" s="220" t="s">
        <v>2557</v>
      </c>
      <c r="D76" s="216"/>
      <c r="E76" s="216" t="s">
        <v>1228</v>
      </c>
      <c r="F76" s="216" t="s">
        <v>788</v>
      </c>
      <c r="G76" s="216" t="s">
        <v>14357</v>
      </c>
      <c r="H76" s="217">
        <v>0</v>
      </c>
      <c r="I76" s="218" t="s">
        <v>1846</v>
      </c>
      <c r="J76" s="218" t="s">
        <v>1818</v>
      </c>
      <c r="K76" s="267"/>
      <c r="L76" s="267"/>
      <c r="M76" s="267"/>
      <c r="N76" s="267"/>
      <c r="O76" s="267"/>
      <c r="P76" s="219"/>
      <c r="Q76" s="268"/>
      <c r="R76" s="216" t="str">
        <f ca="1">IF(ISERROR($V76),"",OFFSET('Smelter Look-up'!$C$4,$V76-4,0)&amp;"")</f>
        <v>Kojima Chemicals Co., Ltd.</v>
      </c>
      <c r="S76" s="224" t="str">
        <f t="shared" ca="1" si="3"/>
        <v>JP</v>
      </c>
      <c r="T76" s="224" t="str">
        <f ca="1">IF(B76="","",IF(ISERROR(MATCH($J76,SorP!$B$1:$B$6230,0)),"",INDIRECT("'SorP'!$A$"&amp;MATCH($J76,SorP!$B$1:$B$6230,0))))</f>
        <v>JP-11</v>
      </c>
      <c r="U76" s="239"/>
      <c r="V76" s="269">
        <f>IF(C76="",NA(),MATCH($B76&amp;$C76,'Smelter Look-up'!$J:$J,0))</f>
        <v>121</v>
      </c>
      <c r="W76" s="270"/>
      <c r="X76" s="270">
        <f t="shared" si="4"/>
        <v>0</v>
      </c>
      <c r="Y76" s="270"/>
      <c r="Z76" s="270"/>
      <c r="AB76" s="272" t="str">
        <f t="shared" si="5"/>
        <v>GoldKojima Chemicals Co., Ltd.</v>
      </c>
    </row>
    <row r="77" spans="1:28" s="271" customFormat="1" ht="23.25" customHeight="1">
      <c r="A77" s="215" t="s">
        <v>789</v>
      </c>
      <c r="B77" s="216" t="s">
        <v>1250</v>
      </c>
      <c r="C77" s="220" t="s">
        <v>962</v>
      </c>
      <c r="D77" s="216"/>
      <c r="E77" s="216" t="s">
        <v>1230</v>
      </c>
      <c r="F77" s="216" t="s">
        <v>789</v>
      </c>
      <c r="G77" s="216" t="s">
        <v>14357</v>
      </c>
      <c r="H77" s="217">
        <v>0</v>
      </c>
      <c r="I77" s="218" t="s">
        <v>1848</v>
      </c>
      <c r="J77" s="218" t="s">
        <v>13925</v>
      </c>
      <c r="K77" s="267"/>
      <c r="L77" s="267"/>
      <c r="M77" s="267"/>
      <c r="N77" s="267"/>
      <c r="O77" s="267"/>
      <c r="P77" s="219"/>
      <c r="Q77" s="268"/>
      <c r="R77" s="216" t="str">
        <f ca="1">IF(ISERROR($V77),"",OFFSET('Smelter Look-up'!$C$4,$V77-4,0)&amp;"")</f>
        <v>Kyrgyzaltyn JSC</v>
      </c>
      <c r="S77" s="224" t="str">
        <f t="shared" ca="1" si="3"/>
        <v>KG</v>
      </c>
      <c r="T77" s="224" t="str">
        <f ca="1">IF(B77="","",IF(ISERROR(MATCH($J77,SorP!$B$1:$B$6230,0)),"",INDIRECT("'SorP'!$A$"&amp;MATCH($J77,SorP!$B$1:$B$6230,0))))</f>
        <v>KG-C</v>
      </c>
      <c r="U77" s="239"/>
      <c r="V77" s="269">
        <f>IF(C77="",NA(),MATCH($B77&amp;$C77,'Smelter Look-up'!$J:$J,0))</f>
        <v>126</v>
      </c>
      <c r="W77" s="270"/>
      <c r="X77" s="270">
        <f t="shared" si="4"/>
        <v>0</v>
      </c>
      <c r="Y77" s="270"/>
      <c r="Z77" s="270"/>
      <c r="AB77" s="272" t="str">
        <f t="shared" si="5"/>
        <v>GoldKyrgyzaltyn JSC</v>
      </c>
    </row>
    <row r="78" spans="1:28" s="271" customFormat="1" ht="23.25" customHeight="1">
      <c r="A78" s="215" t="s">
        <v>870</v>
      </c>
      <c r="B78" s="216" t="s">
        <v>1251</v>
      </c>
      <c r="C78" s="220" t="s">
        <v>1457</v>
      </c>
      <c r="D78" s="216"/>
      <c r="E78" s="216" t="s">
        <v>1220</v>
      </c>
      <c r="F78" s="216" t="s">
        <v>870</v>
      </c>
      <c r="G78" s="216" t="s">
        <v>14357</v>
      </c>
      <c r="H78" s="217">
        <v>0</v>
      </c>
      <c r="I78" s="218" t="s">
        <v>2026</v>
      </c>
      <c r="J78" s="218" t="s">
        <v>15217</v>
      </c>
      <c r="K78" s="267"/>
      <c r="L78" s="267"/>
      <c r="M78" s="267"/>
      <c r="N78" s="267"/>
      <c r="O78" s="267"/>
      <c r="P78" s="219"/>
      <c r="Q78" s="268"/>
      <c r="R78" s="216" t="str">
        <f ca="1">IF(ISERROR($V78),"",OFFSET('Smelter Look-up'!$C$4,$V78-4,0)&amp;"")</f>
        <v>China Tin Group Co., Ltd.</v>
      </c>
      <c r="S78" s="224" t="str">
        <f t="shared" ca="1" si="3"/>
        <v>CN</v>
      </c>
      <c r="T78" s="224" t="str">
        <f ca="1">IF(B78="","",IF(ISERROR(MATCH($J78,SorP!$B$1:$B$6230,0)),"",INDIRECT("'SorP'!$A$"&amp;MATCH($J78,SorP!$B$1:$B$6230,0))))</f>
        <v>CN-GX</v>
      </c>
      <c r="U78" s="239"/>
      <c r="V78" s="269">
        <f>IF(C78="",NA(),MATCH($B78&amp;$C78,'Smelter Look-up'!$J:$J,0))</f>
        <v>362</v>
      </c>
      <c r="W78" s="270"/>
      <c r="X78" s="270">
        <f t="shared" si="4"/>
        <v>0</v>
      </c>
      <c r="Y78" s="270"/>
      <c r="Z78" s="270"/>
      <c r="AB78" s="272" t="str">
        <f t="shared" si="5"/>
        <v>TinChina Tin Group Co., Ltd.</v>
      </c>
    </row>
    <row r="79" spans="1:28" s="271" customFormat="1" ht="23.25" customHeight="1">
      <c r="A79" s="215" t="s">
        <v>848</v>
      </c>
      <c r="B79" s="216" t="s">
        <v>1252</v>
      </c>
      <c r="C79" s="220" t="s">
        <v>51</v>
      </c>
      <c r="D79" s="216"/>
      <c r="E79" s="216" t="s">
        <v>1216</v>
      </c>
      <c r="F79" s="216" t="s">
        <v>848</v>
      </c>
      <c r="G79" s="216" t="s">
        <v>14357</v>
      </c>
      <c r="H79" s="217">
        <v>0</v>
      </c>
      <c r="I79" s="218" t="s">
        <v>1966</v>
      </c>
      <c r="J79" s="218" t="s">
        <v>1784</v>
      </c>
      <c r="K79" s="267"/>
      <c r="L79" s="267"/>
      <c r="M79" s="267"/>
      <c r="N79" s="267"/>
      <c r="O79" s="267"/>
      <c r="P79" s="219"/>
      <c r="Q79" s="268"/>
      <c r="R79" s="216" t="str">
        <f ca="1">IF(ISERROR($V79),"",OFFSET('Smelter Look-up'!$C$4,$V79-4,0)&amp;"")</f>
        <v>LSM Brasil S.A.</v>
      </c>
      <c r="S79" s="224" t="str">
        <f t="shared" ca="1" si="3"/>
        <v>BR</v>
      </c>
      <c r="T79" s="224" t="str">
        <f ca="1">IF(B79="","",IF(ISERROR(MATCH($J79,SorP!$B$1:$B$6230,0)),"",INDIRECT("'SorP'!$A$"&amp;MATCH($J79,SorP!$B$1:$B$6230,0))))</f>
        <v>BR-MG</v>
      </c>
      <c r="U79" s="239"/>
      <c r="V79" s="269">
        <f>IF(C79="",NA(),MATCH($B79&amp;$C79,'Smelter Look-up'!$J:$J,0))</f>
        <v>316</v>
      </c>
      <c r="W79" s="270"/>
      <c r="X79" s="270">
        <f t="shared" si="4"/>
        <v>0</v>
      </c>
      <c r="Y79" s="270"/>
      <c r="Z79" s="270"/>
      <c r="AB79" s="272" t="str">
        <f t="shared" si="5"/>
        <v>TantalumLSM Brasil S.A.</v>
      </c>
    </row>
    <row r="80" spans="1:28" s="271" customFormat="1" ht="23.25" customHeight="1">
      <c r="A80" s="215" t="s">
        <v>792</v>
      </c>
      <c r="B80" s="216" t="s">
        <v>1250</v>
      </c>
      <c r="C80" s="220" t="s">
        <v>60</v>
      </c>
      <c r="D80" s="216"/>
      <c r="E80" s="216" t="s">
        <v>1231</v>
      </c>
      <c r="F80" s="216" t="s">
        <v>792</v>
      </c>
      <c r="G80" s="216" t="s">
        <v>14357</v>
      </c>
      <c r="H80" s="217">
        <v>0</v>
      </c>
      <c r="I80" s="218" t="s">
        <v>1851</v>
      </c>
      <c r="J80" s="218" t="s">
        <v>13932</v>
      </c>
      <c r="K80" s="267"/>
      <c r="L80" s="267"/>
      <c r="M80" s="267"/>
      <c r="N80" s="267"/>
      <c r="O80" s="267"/>
      <c r="P80" s="219"/>
      <c r="Q80" s="268"/>
      <c r="R80" s="216" t="str">
        <f ca="1">IF(ISERROR($V80),"",OFFSET('Smelter Look-up'!$C$4,$V80-4,0)&amp;"")</f>
        <v>LS-NIKKO Copper Inc.</v>
      </c>
      <c r="S80" s="224" t="str">
        <f t="shared" ca="1" si="3"/>
        <v>KR</v>
      </c>
      <c r="T80" s="224" t="str">
        <f ca="1">IF(B80="","",IF(ISERROR(MATCH($J80,SorP!$B$1:$B$6230,0)),"",INDIRECT("'SorP'!$A$"&amp;MATCH($J80,SorP!$B$1:$B$6230,0))))</f>
        <v>KR-31</v>
      </c>
      <c r="U80" s="239"/>
      <c r="V80" s="269">
        <f>IF(C80="",NA(),MATCH($B80&amp;$C80,'Smelter Look-up'!$J:$J,0))</f>
        <v>135</v>
      </c>
      <c r="W80" s="270"/>
      <c r="X80" s="270">
        <f t="shared" si="4"/>
        <v>0</v>
      </c>
      <c r="Y80" s="270"/>
      <c r="Z80" s="270"/>
      <c r="AB80" s="272" t="str">
        <f t="shared" si="5"/>
        <v>GoldLS-NIKKO Copper Inc.</v>
      </c>
    </row>
    <row r="81" spans="1:28" s="271" customFormat="1" ht="23.25" customHeight="1">
      <c r="A81" s="215" t="s">
        <v>871</v>
      </c>
      <c r="B81" s="216" t="s">
        <v>1251</v>
      </c>
      <c r="C81" s="220" t="s">
        <v>934</v>
      </c>
      <c r="D81" s="216"/>
      <c r="E81" s="216" t="s">
        <v>1235</v>
      </c>
      <c r="F81" s="216" t="s">
        <v>871</v>
      </c>
      <c r="G81" s="216" t="s">
        <v>14357</v>
      </c>
      <c r="H81" s="217">
        <v>0</v>
      </c>
      <c r="I81" s="218" t="s">
        <v>2031</v>
      </c>
      <c r="J81" s="218" t="s">
        <v>9530</v>
      </c>
      <c r="K81" s="267"/>
      <c r="L81" s="267"/>
      <c r="M81" s="267"/>
      <c r="N81" s="267"/>
      <c r="O81" s="267"/>
      <c r="P81" s="219"/>
      <c r="Q81" s="268"/>
      <c r="R81" s="216" t="str">
        <f ca="1">IF(ISERROR($V81),"",OFFSET('Smelter Look-up'!$C$4,$V81-4,0)&amp;"")</f>
        <v>Malaysia Smelting Corporation (MSC)</v>
      </c>
      <c r="S81" s="224" t="str">
        <f t="shared" ca="1" si="3"/>
        <v>MY</v>
      </c>
      <c r="T81" s="224" t="str">
        <f ca="1">IF(B81="","",IF(ISERROR(MATCH($J81,SorP!$B$1:$B$6230,0)),"",INDIRECT("'SorP'!$A$"&amp;MATCH($J81,SorP!$B$1:$B$6230,0))))</f>
        <v>MY-07</v>
      </c>
      <c r="U81" s="239"/>
      <c r="V81" s="269">
        <f>IF(C81="",NA(),MATCH($B81&amp;$C81,'Smelter Look-up'!$J:$J,0))</f>
        <v>418</v>
      </c>
      <c r="W81" s="270"/>
      <c r="X81" s="270">
        <f t="shared" si="4"/>
        <v>0</v>
      </c>
      <c r="Y81" s="270"/>
      <c r="Z81" s="270"/>
      <c r="AB81" s="272" t="str">
        <f t="shared" si="5"/>
        <v>TinMalaysia Smelting Corporation (MSC)</v>
      </c>
    </row>
    <row r="82" spans="1:28" s="271" customFormat="1" ht="23.25" customHeight="1">
      <c r="A82" s="215" t="s">
        <v>795</v>
      </c>
      <c r="B82" s="216" t="s">
        <v>1250</v>
      </c>
      <c r="C82" s="220" t="s">
        <v>1026</v>
      </c>
      <c r="D82" s="216"/>
      <c r="E82" s="216" t="s">
        <v>3092</v>
      </c>
      <c r="F82" s="216" t="s">
        <v>795</v>
      </c>
      <c r="G82" s="216" t="s">
        <v>14357</v>
      </c>
      <c r="H82" s="217">
        <v>0</v>
      </c>
      <c r="I82" s="218" t="s">
        <v>1854</v>
      </c>
      <c r="J82" s="218" t="s">
        <v>1855</v>
      </c>
      <c r="K82" s="267"/>
      <c r="L82" s="267"/>
      <c r="M82" s="267"/>
      <c r="N82" s="267"/>
      <c r="O82" s="267"/>
      <c r="P82" s="219"/>
      <c r="Q82" s="268"/>
      <c r="R82" s="216" t="str">
        <f ca="1">IF(ISERROR($V82),"",OFFSET('Smelter Look-up'!$C$4,$V82-4,0)&amp;"")</f>
        <v>Materion</v>
      </c>
      <c r="S82" s="224" t="str">
        <f t="shared" ca="1" si="3"/>
        <v>US</v>
      </c>
      <c r="T82" s="224" t="str">
        <f ca="1">IF(B82="","",IF(ISERROR(MATCH($J82,SorP!$B$1:$B$6230,0)),"",INDIRECT("'SorP'!$A$"&amp;MATCH($J82,SorP!$B$1:$B$6230,0))))</f>
        <v>US-NY</v>
      </c>
      <c r="U82" s="239"/>
      <c r="V82" s="269">
        <f>IF(C82="",NA(),MATCH($B82&amp;$C82,'Smelter Look-up'!$J:$J,0))</f>
        <v>140</v>
      </c>
      <c r="W82" s="270"/>
      <c r="X82" s="270">
        <f t="shared" si="4"/>
        <v>0</v>
      </c>
      <c r="Y82" s="270"/>
      <c r="Z82" s="270"/>
      <c r="AB82" s="272" t="str">
        <f t="shared" si="5"/>
        <v>GoldMaterion</v>
      </c>
    </row>
    <row r="83" spans="1:28" s="271" customFormat="1" ht="23.25" customHeight="1">
      <c r="A83" s="215" t="s">
        <v>796</v>
      </c>
      <c r="B83" s="216" t="s">
        <v>1250</v>
      </c>
      <c r="C83" s="220" t="s">
        <v>61</v>
      </c>
      <c r="D83" s="216"/>
      <c r="E83" s="216" t="s">
        <v>1228</v>
      </c>
      <c r="F83" s="216" t="s">
        <v>796</v>
      </c>
      <c r="G83" s="216" t="s">
        <v>14357</v>
      </c>
      <c r="H83" s="217">
        <v>0</v>
      </c>
      <c r="I83" s="218" t="s">
        <v>1856</v>
      </c>
      <c r="J83" s="218" t="s">
        <v>1818</v>
      </c>
      <c r="K83" s="267"/>
      <c r="L83" s="267"/>
      <c r="M83" s="267"/>
      <c r="N83" s="267"/>
      <c r="O83" s="267"/>
      <c r="P83" s="219"/>
      <c r="Q83" s="268"/>
      <c r="R83" s="216" t="str">
        <f ca="1">IF(ISERROR($V83),"",OFFSET('Smelter Look-up'!$C$4,$V83-4,0)&amp;"")</f>
        <v>Matsuda Sangyo Co., Ltd.</v>
      </c>
      <c r="S83" s="224" t="str">
        <f t="shared" ca="1" si="3"/>
        <v>JP</v>
      </c>
      <c r="T83" s="224" t="str">
        <f ca="1">IF(B83="","",IF(ISERROR(MATCH($J83,SorP!$B$1:$B$6230,0)),"",INDIRECT("'SorP'!$A$"&amp;MATCH($J83,SorP!$B$1:$B$6230,0))))</f>
        <v>JP-11</v>
      </c>
      <c r="U83" s="239"/>
      <c r="V83" s="269">
        <f>IF(C83="",NA(),MATCH($B83&amp;$C83,'Smelter Look-up'!$J:$J,0))</f>
        <v>141</v>
      </c>
      <c r="W83" s="270"/>
      <c r="X83" s="270">
        <f t="shared" si="4"/>
        <v>0</v>
      </c>
      <c r="Y83" s="270"/>
      <c r="Z83" s="270"/>
      <c r="AB83" s="272" t="str">
        <f t="shared" si="5"/>
        <v>GoldMatsuda Sangyo Co., Ltd.</v>
      </c>
    </row>
    <row r="84" spans="1:28" s="271" customFormat="1" ht="23.25" customHeight="1">
      <c r="A84" s="215" t="s">
        <v>2032</v>
      </c>
      <c r="B84" s="216" t="s">
        <v>1251</v>
      </c>
      <c r="C84" s="220" t="s">
        <v>2559</v>
      </c>
      <c r="D84" s="216"/>
      <c r="E84" s="216" t="s">
        <v>3092</v>
      </c>
      <c r="F84" s="216" t="s">
        <v>2032</v>
      </c>
      <c r="G84" s="216" t="s">
        <v>14357</v>
      </c>
      <c r="H84" s="217">
        <v>0</v>
      </c>
      <c r="I84" s="218" t="s">
        <v>2033</v>
      </c>
      <c r="J84" s="218" t="s">
        <v>1874</v>
      </c>
      <c r="K84" s="267"/>
      <c r="L84" s="267"/>
      <c r="M84" s="267"/>
      <c r="N84" s="267"/>
      <c r="O84" s="267"/>
      <c r="P84" s="219"/>
      <c r="Q84" s="268"/>
      <c r="R84" s="216" t="str">
        <f ca="1">IF(ISERROR($V84),"",OFFSET('Smelter Look-up'!$C$4,$V84-4,0)&amp;"")</f>
        <v>Metallic Resources, Inc.</v>
      </c>
      <c r="S84" s="224" t="str">
        <f t="shared" ca="1" si="3"/>
        <v>US</v>
      </c>
      <c r="T84" s="224" t="str">
        <f ca="1">IF(B84="","",IF(ISERROR(MATCH($J84,SorP!$B$1:$B$6230,0)),"",INDIRECT("'SorP'!$A$"&amp;MATCH($J84,SorP!$B$1:$B$6230,0))))</f>
        <v>US-OH</v>
      </c>
      <c r="U84" s="239"/>
      <c r="V84" s="269">
        <f>IF(C84="",NA(),MATCH($B84&amp;$C84,'Smelter Look-up'!$J:$J,0))</f>
        <v>422</v>
      </c>
      <c r="W84" s="270"/>
      <c r="X84" s="270">
        <f t="shared" si="4"/>
        <v>0</v>
      </c>
      <c r="Y84" s="270"/>
      <c r="Z84" s="270"/>
      <c r="AB84" s="272" t="str">
        <f t="shared" si="5"/>
        <v>TinMetallic Resources, Inc.</v>
      </c>
    </row>
    <row r="85" spans="1:28" s="271" customFormat="1" ht="23.25" customHeight="1">
      <c r="A85" s="215" t="s">
        <v>1858</v>
      </c>
      <c r="B85" s="216" t="s">
        <v>1250</v>
      </c>
      <c r="C85" s="220" t="s">
        <v>1857</v>
      </c>
      <c r="D85" s="216"/>
      <c r="E85" s="216" t="s">
        <v>1220</v>
      </c>
      <c r="F85" s="216" t="s">
        <v>1858</v>
      </c>
      <c r="G85" s="216" t="s">
        <v>14357</v>
      </c>
      <c r="H85" s="217" t="s">
        <v>15500</v>
      </c>
      <c r="I85" s="218" t="s">
        <v>3205</v>
      </c>
      <c r="J85" s="218" t="s">
        <v>15246</v>
      </c>
      <c r="K85" s="267" t="s">
        <v>15501</v>
      </c>
      <c r="L85" s="267" t="s">
        <v>15502</v>
      </c>
      <c r="M85" s="267"/>
      <c r="N85" s="267" t="s">
        <v>15503</v>
      </c>
      <c r="O85" s="267" t="s">
        <v>15503</v>
      </c>
      <c r="P85" s="219" t="s">
        <v>559</v>
      </c>
      <c r="Q85" s="268"/>
      <c r="R85" s="216" t="str">
        <f ca="1">IF(ISERROR($V85),"",OFFSET('Smelter Look-up'!$C$4,$V85-4,0)&amp;"")</f>
        <v>Metalor Technologies (Suzhou) Ltd.</v>
      </c>
      <c r="S85" s="224" t="str">
        <f t="shared" ca="1" si="3"/>
        <v>CN</v>
      </c>
      <c r="T85" s="224" t="str">
        <f ca="1">IF(B85="","",IF(ISERROR(MATCH($J85,SorP!$B$1:$B$6230,0)),"",INDIRECT("'SorP'!$A$"&amp;MATCH($J85,SorP!$B$1:$B$6230,0))))</f>
        <v>CN-JS</v>
      </c>
      <c r="U85" s="239"/>
      <c r="V85" s="269">
        <f>IF(C85="",NA(),MATCH($B85&amp;$C85,'Smelter Look-up'!$J:$J,0))</f>
        <v>148</v>
      </c>
      <c r="W85" s="270"/>
      <c r="X85" s="270">
        <f t="shared" si="4"/>
        <v>0</v>
      </c>
      <c r="Y85" s="270"/>
      <c r="Z85" s="270"/>
      <c r="AB85" s="272" t="str">
        <f t="shared" si="5"/>
        <v>GoldMetalor Technologies (Suzhou) Ltd.</v>
      </c>
    </row>
    <row r="86" spans="1:28" s="271" customFormat="1" ht="23.25" customHeight="1">
      <c r="A86" s="215" t="s">
        <v>797</v>
      </c>
      <c r="B86" s="216" t="s">
        <v>1250</v>
      </c>
      <c r="C86" s="220" t="s">
        <v>2560</v>
      </c>
      <c r="D86" s="216"/>
      <c r="E86" s="216" t="s">
        <v>1220</v>
      </c>
      <c r="F86" s="216" t="s">
        <v>797</v>
      </c>
      <c r="G86" s="216" t="s">
        <v>14357</v>
      </c>
      <c r="H86" s="217">
        <v>0</v>
      </c>
      <c r="I86" s="218" t="s">
        <v>1859</v>
      </c>
      <c r="J86" s="218" t="s">
        <v>15475</v>
      </c>
      <c r="K86" s="267"/>
      <c r="L86" s="267"/>
      <c r="M86" s="267"/>
      <c r="N86" s="267"/>
      <c r="O86" s="267"/>
      <c r="P86" s="219"/>
      <c r="Q86" s="268"/>
      <c r="R86" s="216" t="str">
        <f ca="1">IF(ISERROR($V86),"",OFFSET('Smelter Look-up'!$C$4,$V86-4,0)&amp;"")</f>
        <v>Metalor Technologies (Hong Kong) Ltd.</v>
      </c>
      <c r="S86" s="224" t="str">
        <f t="shared" ca="1" si="3"/>
        <v>CN</v>
      </c>
      <c r="T86" s="224" t="str">
        <f ca="1">IF(B86="","",IF(ISERROR(MATCH($J86,SorP!$B$1:$B$6230,0)),"",INDIRECT("'SorP'!$A$"&amp;MATCH($J86,SorP!$B$1:$B$6230,0))))</f>
        <v>CN-HK</v>
      </c>
      <c r="U86" s="239"/>
      <c r="V86" s="269">
        <f>IF(C86="",NA(),MATCH($B86&amp;$C86,'Smelter Look-up'!$J:$J,0))</f>
        <v>146</v>
      </c>
      <c r="W86" s="270"/>
      <c r="X86" s="270">
        <f t="shared" si="4"/>
        <v>0</v>
      </c>
      <c r="Y86" s="270"/>
      <c r="Z86" s="270"/>
      <c r="AB86" s="272" t="str">
        <f t="shared" si="5"/>
        <v>GoldMetalor Technologies (Hong Kong) Ltd.</v>
      </c>
    </row>
    <row r="87" spans="1:28" s="271" customFormat="1" ht="23.25" customHeight="1">
      <c r="A87" s="215" t="s">
        <v>798</v>
      </c>
      <c r="B87" s="216" t="s">
        <v>1250</v>
      </c>
      <c r="C87" s="220" t="s">
        <v>2561</v>
      </c>
      <c r="D87" s="216"/>
      <c r="E87" s="216" t="s">
        <v>1002</v>
      </c>
      <c r="F87" s="216" t="s">
        <v>798</v>
      </c>
      <c r="G87" s="216" t="s">
        <v>14357</v>
      </c>
      <c r="H87" s="217" t="s">
        <v>15504</v>
      </c>
      <c r="I87" s="218" t="s">
        <v>13787</v>
      </c>
      <c r="J87" s="218" t="s">
        <v>11167</v>
      </c>
      <c r="K87" s="267" t="s">
        <v>15505</v>
      </c>
      <c r="L87" s="267" t="s">
        <v>15506</v>
      </c>
      <c r="M87" s="267"/>
      <c r="N87" s="267" t="s">
        <v>15503</v>
      </c>
      <c r="O87" s="267" t="s">
        <v>15503</v>
      </c>
      <c r="P87" s="219" t="s">
        <v>559</v>
      </c>
      <c r="Q87" s="268"/>
      <c r="R87" s="216" t="str">
        <f ca="1">IF(ISERROR($V87),"",OFFSET('Smelter Look-up'!$C$4,$V87-4,0)&amp;"")</f>
        <v>Metalor Technologies (Singapore) Pte., Ltd.</v>
      </c>
      <c r="S87" s="224" t="str">
        <f t="shared" ca="1" si="3"/>
        <v>SG</v>
      </c>
      <c r="T87" s="224" t="str">
        <f ca="1">IF(B87="","",IF(ISERROR(MATCH($J87,SorP!$B$1:$B$6230,0)),"",INDIRECT("'SorP'!$A$"&amp;MATCH($J87,SorP!$B$1:$B$6230,0))))</f>
        <v>SG-05</v>
      </c>
      <c r="U87" s="239"/>
      <c r="V87" s="269">
        <f>IF(C87="",NA(),MATCH($B87&amp;$C87,'Smelter Look-up'!$J:$J,0))</f>
        <v>147</v>
      </c>
      <c r="W87" s="270"/>
      <c r="X87" s="270">
        <f t="shared" si="4"/>
        <v>0</v>
      </c>
      <c r="Y87" s="270"/>
      <c r="Z87" s="270"/>
      <c r="AB87" s="272" t="str">
        <f t="shared" si="5"/>
        <v>GoldMetalor Technologies (Singapore) Pte., Ltd.</v>
      </c>
    </row>
    <row r="88" spans="1:28" s="271" customFormat="1" ht="23.25" customHeight="1">
      <c r="A88" s="215" t="s">
        <v>799</v>
      </c>
      <c r="B88" s="216" t="s">
        <v>1250</v>
      </c>
      <c r="C88" s="220" t="s">
        <v>2929</v>
      </c>
      <c r="D88" s="216"/>
      <c r="E88" s="216" t="s">
        <v>1218</v>
      </c>
      <c r="F88" s="216" t="s">
        <v>799</v>
      </c>
      <c r="G88" s="216" t="s">
        <v>14357</v>
      </c>
      <c r="H88" s="217">
        <v>0</v>
      </c>
      <c r="I88" s="218" t="s">
        <v>1860</v>
      </c>
      <c r="J88" s="218" t="s">
        <v>1861</v>
      </c>
      <c r="K88" s="267"/>
      <c r="L88" s="267"/>
      <c r="M88" s="267"/>
      <c r="N88" s="267"/>
      <c r="O88" s="267"/>
      <c r="P88" s="219"/>
      <c r="Q88" s="268"/>
      <c r="R88" s="216" t="str">
        <f ca="1">IF(ISERROR($V88),"",OFFSET('Smelter Look-up'!$C$4,$V88-4,0)&amp;"")</f>
        <v>Metalor Technologies S.A.</v>
      </c>
      <c r="S88" s="224" t="str">
        <f t="shared" ca="1" si="3"/>
        <v>CH</v>
      </c>
      <c r="T88" s="224" t="str">
        <f ca="1">IF(B88="","",IF(ISERROR(MATCH($J88,SorP!$B$1:$B$6230,0)),"",INDIRECT("'SorP'!$A$"&amp;MATCH($J88,SorP!$B$1:$B$6230,0))))</f>
        <v>CH-NE</v>
      </c>
      <c r="U88" s="239"/>
      <c r="V88" s="269">
        <f>IF(C88="",NA(),MATCH($B88&amp;$C88,'Smelter Look-up'!$J:$J,0))</f>
        <v>149</v>
      </c>
      <c r="W88" s="270"/>
      <c r="X88" s="270">
        <f t="shared" si="4"/>
        <v>0</v>
      </c>
      <c r="Y88" s="270"/>
      <c r="Z88" s="270"/>
      <c r="AB88" s="272" t="str">
        <f t="shared" si="5"/>
        <v>GoldMetalor Technologies S.A.</v>
      </c>
    </row>
    <row r="89" spans="1:28" s="271" customFormat="1" ht="23.25" customHeight="1">
      <c r="A89" s="215" t="s">
        <v>800</v>
      </c>
      <c r="B89" s="216" t="s">
        <v>1250</v>
      </c>
      <c r="C89" s="220" t="s">
        <v>1355</v>
      </c>
      <c r="D89" s="216"/>
      <c r="E89" s="216" t="s">
        <v>3092</v>
      </c>
      <c r="F89" s="216" t="s">
        <v>800</v>
      </c>
      <c r="G89" s="216" t="s">
        <v>14357</v>
      </c>
      <c r="H89" s="217">
        <v>0</v>
      </c>
      <c r="I89" s="218" t="s">
        <v>1862</v>
      </c>
      <c r="J89" s="218" t="s">
        <v>1863</v>
      </c>
      <c r="K89" s="267"/>
      <c r="L89" s="267"/>
      <c r="M89" s="267"/>
      <c r="N89" s="267"/>
      <c r="O89" s="267"/>
      <c r="P89" s="219"/>
      <c r="Q89" s="268"/>
      <c r="R89" s="216" t="str">
        <f ca="1">IF(ISERROR($V89),"",OFFSET('Smelter Look-up'!$C$4,$V89-4,0)&amp;"")</f>
        <v>Metalor USA Refining Corporation</v>
      </c>
      <c r="S89" s="224" t="str">
        <f t="shared" ca="1" si="3"/>
        <v>US</v>
      </c>
      <c r="T89" s="224" t="str">
        <f ca="1">IF(B89="","",IF(ISERROR(MATCH($J89,SorP!$B$1:$B$6230,0)),"",INDIRECT("'SorP'!$A$"&amp;MATCH($J89,SorP!$B$1:$B$6230,0))))</f>
        <v>US-MA</v>
      </c>
      <c r="U89" s="239"/>
      <c r="V89" s="269">
        <f>IF(C89="",NA(),MATCH($B89&amp;$C89,'Smelter Look-up'!$J:$J,0))</f>
        <v>150</v>
      </c>
      <c r="W89" s="270"/>
      <c r="X89" s="270">
        <f t="shared" si="4"/>
        <v>0</v>
      </c>
      <c r="Y89" s="270"/>
      <c r="Z89" s="270"/>
      <c r="AB89" s="272" t="str">
        <f t="shared" si="5"/>
        <v>GoldMetalor USA Refining Corporation</v>
      </c>
    </row>
    <row r="90" spans="1:28" s="271" customFormat="1" ht="23.25" customHeight="1">
      <c r="A90" s="215" t="s">
        <v>801</v>
      </c>
      <c r="B90" s="216" t="s">
        <v>1250</v>
      </c>
      <c r="C90" s="220" t="s">
        <v>2547</v>
      </c>
      <c r="D90" s="216"/>
      <c r="E90" s="216" t="s">
        <v>1233</v>
      </c>
      <c r="F90" s="216" t="s">
        <v>801</v>
      </c>
      <c r="G90" s="216" t="s">
        <v>14357</v>
      </c>
      <c r="H90" s="217">
        <v>0</v>
      </c>
      <c r="I90" s="218" t="s">
        <v>1864</v>
      </c>
      <c r="J90" s="218" t="s">
        <v>13950</v>
      </c>
      <c r="K90" s="267"/>
      <c r="L90" s="267"/>
      <c r="M90" s="267"/>
      <c r="N90" s="267"/>
      <c r="O90" s="267"/>
      <c r="P90" s="219"/>
      <c r="Q90" s="268"/>
      <c r="R90" s="216" t="str">
        <f ca="1">IF(ISERROR($V90),"",OFFSET('Smelter Look-up'!$C$4,$V90-4,0)&amp;"")</f>
        <v>Metalurgica Met-Mex Penoles S.A. De C.V.</v>
      </c>
      <c r="S90" s="224" t="str">
        <f t="shared" ca="1" si="3"/>
        <v>MX</v>
      </c>
      <c r="T90" s="224" t="str">
        <f ca="1">IF(B90="","",IF(ISERROR(MATCH($J90,SorP!$B$1:$B$6230,0)),"",INDIRECT("'SorP'!$A$"&amp;MATCH($J90,SorP!$B$1:$B$6230,0))))</f>
        <v>MX-COA</v>
      </c>
      <c r="U90" s="239"/>
      <c r="V90" s="269">
        <f>IF(C90="",NA(),MATCH($B90&amp;$C90,'Smelter Look-up'!$J:$J,0))</f>
        <v>154</v>
      </c>
      <c r="W90" s="270"/>
      <c r="X90" s="270">
        <f t="shared" si="4"/>
        <v>0</v>
      </c>
      <c r="Y90" s="270"/>
      <c r="Z90" s="270"/>
      <c r="AB90" s="272" t="str">
        <f t="shared" si="5"/>
        <v>GoldMet-Mex Penoles, S.A.</v>
      </c>
    </row>
    <row r="91" spans="1:28" s="271" customFormat="1" ht="23.25" customHeight="1">
      <c r="A91" s="215" t="s">
        <v>849</v>
      </c>
      <c r="B91" s="216" t="s">
        <v>1252</v>
      </c>
      <c r="C91" s="220" t="s">
        <v>2562</v>
      </c>
      <c r="D91" s="216"/>
      <c r="E91" s="216" t="s">
        <v>1226</v>
      </c>
      <c r="F91" s="216" t="s">
        <v>849</v>
      </c>
      <c r="G91" s="216" t="s">
        <v>14357</v>
      </c>
      <c r="H91" s="217">
        <v>0</v>
      </c>
      <c r="I91" s="218" t="s">
        <v>1967</v>
      </c>
      <c r="J91" s="218" t="s">
        <v>1968</v>
      </c>
      <c r="K91" s="267"/>
      <c r="L91" s="267"/>
      <c r="M91" s="267"/>
      <c r="N91" s="267"/>
      <c r="O91" s="267"/>
      <c r="P91" s="219"/>
      <c r="Q91" s="268"/>
      <c r="R91" s="216" t="str">
        <f ca="1">IF(ISERROR($V91),"",OFFSET('Smelter Look-up'!$C$4,$V91-4,0)&amp;"")</f>
        <v>Metallurgical Products India Pvt., Ltd.</v>
      </c>
      <c r="S91" s="224" t="str">
        <f t="shared" ca="1" si="3"/>
        <v>IN</v>
      </c>
      <c r="T91" s="224" t="str">
        <f ca="1">IF(B91="","",IF(ISERROR(MATCH($J91,SorP!$B$1:$B$6230,0)),"",INDIRECT("'SorP'!$A$"&amp;MATCH($J91,SorP!$B$1:$B$6230,0))))</f>
        <v>IN-MH</v>
      </c>
      <c r="U91" s="239"/>
      <c r="V91" s="269">
        <f>IF(C91="",NA(),MATCH($B91&amp;$C91,'Smelter Look-up'!$J:$J,0))</f>
        <v>318</v>
      </c>
      <c r="W91" s="270"/>
      <c r="X91" s="270">
        <f t="shared" si="4"/>
        <v>0</v>
      </c>
      <c r="Y91" s="270"/>
      <c r="Z91" s="270"/>
      <c r="AB91" s="272" t="str">
        <f t="shared" si="5"/>
        <v>TantalumMetallurgical Products India Pvt., Ltd.</v>
      </c>
    </row>
    <row r="92" spans="1:28" s="271" customFormat="1" ht="23.25" customHeight="1">
      <c r="A92" s="215" t="s">
        <v>872</v>
      </c>
      <c r="B92" s="216" t="s">
        <v>1251</v>
      </c>
      <c r="C92" s="220" t="s">
        <v>13318</v>
      </c>
      <c r="D92" s="216"/>
      <c r="E92" s="216" t="s">
        <v>1216</v>
      </c>
      <c r="F92" s="216" t="s">
        <v>872</v>
      </c>
      <c r="G92" s="216" t="s">
        <v>14357</v>
      </c>
      <c r="H92" s="217">
        <v>0</v>
      </c>
      <c r="I92" s="218" t="s">
        <v>2034</v>
      </c>
      <c r="J92" s="218" t="s">
        <v>1916</v>
      </c>
      <c r="K92" s="267"/>
      <c r="L92" s="267"/>
      <c r="M92" s="267"/>
      <c r="N92" s="267"/>
      <c r="O92" s="267"/>
      <c r="P92" s="219"/>
      <c r="Q92" s="268"/>
      <c r="R92" s="216" t="str">
        <f ca="1">IF(ISERROR($V92),"",OFFSET('Smelter Look-up'!$C$4,$V92-4,0)&amp;"")</f>
        <v>Mineracao Taboca S.A.</v>
      </c>
      <c r="S92" s="224" t="str">
        <f t="shared" ca="1" si="3"/>
        <v>BR</v>
      </c>
      <c r="T92" s="224" t="str">
        <f ca="1">IF(B92="","",IF(ISERROR(MATCH($J92,SorP!$B$1:$B$6230,0)),"",INDIRECT("'SorP'!$A$"&amp;MATCH($J92,SorP!$B$1:$B$6230,0))))</f>
        <v>BR-SP</v>
      </c>
      <c r="U92" s="239"/>
      <c r="V92" s="269">
        <f>IF(C92="",NA(),MATCH($B92&amp;$C92,'Smelter Look-up'!$J:$J,0))</f>
        <v>425</v>
      </c>
      <c r="W92" s="270"/>
      <c r="X92" s="270">
        <f t="shared" si="4"/>
        <v>0</v>
      </c>
      <c r="Y92" s="270"/>
      <c r="Z92" s="270"/>
      <c r="AB92" s="272" t="str">
        <f t="shared" si="5"/>
        <v>TinMineracao Taboca S.A.</v>
      </c>
    </row>
    <row r="93" spans="1:28" s="271" customFormat="1" ht="23.25" customHeight="1">
      <c r="A93" s="215" t="s">
        <v>850</v>
      </c>
      <c r="B93" s="216" t="s">
        <v>1252</v>
      </c>
      <c r="C93" s="220" t="s">
        <v>13318</v>
      </c>
      <c r="D93" s="216"/>
      <c r="E93" s="216" t="s">
        <v>1216</v>
      </c>
      <c r="F93" s="216" t="s">
        <v>850</v>
      </c>
      <c r="G93" s="216" t="s">
        <v>14357</v>
      </c>
      <c r="H93" s="217">
        <v>0</v>
      </c>
      <c r="I93" s="218" t="s">
        <v>1970</v>
      </c>
      <c r="J93" s="218" t="s">
        <v>1971</v>
      </c>
      <c r="K93" s="267"/>
      <c r="L93" s="267"/>
      <c r="M93" s="267"/>
      <c r="N93" s="267"/>
      <c r="O93" s="267"/>
      <c r="P93" s="219"/>
      <c r="Q93" s="268"/>
      <c r="R93" s="216" t="str">
        <f ca="1">IF(ISERROR($V93),"",OFFSET('Smelter Look-up'!$C$4,$V93-4,0)&amp;"")</f>
        <v>Mineracao Taboca S.A.</v>
      </c>
      <c r="S93" s="224" t="str">
        <f t="shared" ca="1" si="3"/>
        <v>BR</v>
      </c>
      <c r="T93" s="224" t="str">
        <f ca="1">IF(B93="","",IF(ISERROR(MATCH($J93,SorP!$B$1:$B$6230,0)),"",INDIRECT("'SorP'!$A$"&amp;MATCH($J93,SorP!$B$1:$B$6230,0))))</f>
        <v>BR-AM</v>
      </c>
      <c r="U93" s="239"/>
      <c r="V93" s="269">
        <f>IF(C93="",NA(),MATCH($B93&amp;$C93,'Smelter Look-up'!$J:$J,0))</f>
        <v>319</v>
      </c>
      <c r="W93" s="270"/>
      <c r="X93" s="270">
        <f t="shared" si="4"/>
        <v>0</v>
      </c>
      <c r="Y93" s="270"/>
      <c r="Z93" s="270"/>
      <c r="AB93" s="272" t="str">
        <f t="shared" si="5"/>
        <v>TantalumMineracao Taboca S.A.</v>
      </c>
    </row>
    <row r="94" spans="1:28" s="271" customFormat="1" ht="23.25" customHeight="1">
      <c r="A94" s="215" t="s">
        <v>873</v>
      </c>
      <c r="B94" s="216" t="s">
        <v>1251</v>
      </c>
      <c r="C94" s="220" t="s">
        <v>1151</v>
      </c>
      <c r="D94" s="216"/>
      <c r="E94" s="216" t="s">
        <v>996</v>
      </c>
      <c r="F94" s="216" t="s">
        <v>873</v>
      </c>
      <c r="G94" s="216" t="s">
        <v>14357</v>
      </c>
      <c r="H94" s="217">
        <v>0</v>
      </c>
      <c r="I94" s="218" t="s">
        <v>2036</v>
      </c>
      <c r="J94" s="218" t="s">
        <v>9985</v>
      </c>
      <c r="K94" s="267"/>
      <c r="L94" s="267"/>
      <c r="M94" s="267"/>
      <c r="N94" s="267"/>
      <c r="O94" s="267"/>
      <c r="P94" s="219"/>
      <c r="Q94" s="268"/>
      <c r="R94" s="216" t="str">
        <f ca="1">IF(ISERROR($V94),"",OFFSET('Smelter Look-up'!$C$4,$V94-4,0)&amp;"")</f>
        <v>Minsur</v>
      </c>
      <c r="S94" s="224" t="str">
        <f t="shared" ca="1" si="3"/>
        <v>PE</v>
      </c>
      <c r="T94" s="224" t="str">
        <f ca="1">IF(B94="","",IF(ISERROR(MATCH($J94,SorP!$B$1:$B$6230,0)),"",INDIRECT("'SorP'!$A$"&amp;MATCH($J94,SorP!$B$1:$B$6230,0))))</f>
        <v>PE-ICA</v>
      </c>
      <c r="U94" s="239"/>
      <c r="V94" s="269">
        <f>IF(C94="",NA(),MATCH($B94&amp;$C94,'Smelter Look-up'!$J:$J,0))</f>
        <v>428</v>
      </c>
      <c r="W94" s="270"/>
      <c r="X94" s="270">
        <f t="shared" si="4"/>
        <v>0</v>
      </c>
      <c r="Y94" s="270"/>
      <c r="Z94" s="270"/>
      <c r="AB94" s="272" t="str">
        <f t="shared" si="5"/>
        <v>TinMinsur</v>
      </c>
    </row>
    <row r="95" spans="1:28" s="271" customFormat="1" ht="23.25" customHeight="1">
      <c r="A95" s="215" t="s">
        <v>802</v>
      </c>
      <c r="B95" s="216" t="s">
        <v>1250</v>
      </c>
      <c r="C95" s="220" t="s">
        <v>1285</v>
      </c>
      <c r="D95" s="216"/>
      <c r="E95" s="216" t="s">
        <v>1228</v>
      </c>
      <c r="F95" s="216" t="s">
        <v>802</v>
      </c>
      <c r="G95" s="216" t="s">
        <v>14357</v>
      </c>
      <c r="H95" s="217">
        <v>0</v>
      </c>
      <c r="I95" s="218" t="s">
        <v>1865</v>
      </c>
      <c r="J95" s="218" t="s">
        <v>2645</v>
      </c>
      <c r="K95" s="267"/>
      <c r="L95" s="267"/>
      <c r="M95" s="267"/>
      <c r="N95" s="267"/>
      <c r="O95" s="267"/>
      <c r="P95" s="219"/>
      <c r="Q95" s="268"/>
      <c r="R95" s="216" t="str">
        <f ca="1">IF(ISERROR($V95),"",OFFSET('Smelter Look-up'!$C$4,$V95-4,0)&amp;"")</f>
        <v>Mitsubishi Materials Corporation</v>
      </c>
      <c r="S95" s="224" t="str">
        <f t="shared" ca="1" si="3"/>
        <v>JP</v>
      </c>
      <c r="T95" s="224" t="str">
        <f ca="1">IF(B95="","",IF(ISERROR(MATCH($J95,SorP!$B$1:$B$6230,0)),"",INDIRECT("'SorP'!$A$"&amp;MATCH($J95,SorP!$B$1:$B$6230,0))))</f>
        <v>JP-37</v>
      </c>
      <c r="U95" s="239"/>
      <c r="V95" s="269">
        <f>IF(C95="",NA(),MATCH($B95&amp;$C95,'Smelter Look-up'!$J:$J,0))</f>
        <v>155</v>
      </c>
      <c r="W95" s="270"/>
      <c r="X95" s="270">
        <f t="shared" si="4"/>
        <v>0</v>
      </c>
      <c r="Y95" s="270"/>
      <c r="Z95" s="270"/>
      <c r="AB95" s="272" t="str">
        <f t="shared" si="5"/>
        <v>GoldMitsubishi Materials Corporation</v>
      </c>
    </row>
    <row r="96" spans="1:28" s="271" customFormat="1" ht="23.25" customHeight="1">
      <c r="A96" s="215" t="s">
        <v>874</v>
      </c>
      <c r="B96" s="216" t="s">
        <v>1251</v>
      </c>
      <c r="C96" s="220" t="s">
        <v>1285</v>
      </c>
      <c r="D96" s="216"/>
      <c r="E96" s="216" t="s">
        <v>1228</v>
      </c>
      <c r="F96" s="216" t="s">
        <v>874</v>
      </c>
      <c r="G96" s="216" t="s">
        <v>14357</v>
      </c>
      <c r="H96" s="217">
        <v>0</v>
      </c>
      <c r="I96" s="218" t="s">
        <v>2039</v>
      </c>
      <c r="J96" s="218" t="s">
        <v>1788</v>
      </c>
      <c r="K96" s="267"/>
      <c r="L96" s="267"/>
      <c r="M96" s="267"/>
      <c r="N96" s="267"/>
      <c r="O96" s="267"/>
      <c r="P96" s="219"/>
      <c r="Q96" s="268"/>
      <c r="R96" s="216" t="str">
        <f ca="1">IF(ISERROR($V96),"",OFFSET('Smelter Look-up'!$C$4,$V96-4,0)&amp;"")</f>
        <v>Mitsubishi Materials Corporation</v>
      </c>
      <c r="S96" s="224" t="str">
        <f t="shared" ca="1" si="3"/>
        <v>JP</v>
      </c>
      <c r="T96" s="224" t="str">
        <f ca="1">IF(B96="","",IF(ISERROR(MATCH($J96,SorP!$B$1:$B$6230,0)),"",INDIRECT("'SorP'!$A$"&amp;MATCH($J96,SorP!$B$1:$B$6230,0))))</f>
        <v>JP-28</v>
      </c>
      <c r="U96" s="239"/>
      <c r="V96" s="269">
        <f>IF(C96="",NA(),MATCH($B96&amp;$C96,'Smelter Look-up'!$J:$J,0))</f>
        <v>429</v>
      </c>
      <c r="W96" s="270"/>
      <c r="X96" s="270">
        <f t="shared" si="4"/>
        <v>0</v>
      </c>
      <c r="Y96" s="270"/>
      <c r="Z96" s="270"/>
      <c r="AB96" s="272" t="str">
        <f t="shared" si="5"/>
        <v>TinMitsubishi Materials Corporation</v>
      </c>
    </row>
    <row r="97" spans="1:28" s="271" customFormat="1" ht="23.25" customHeight="1">
      <c r="A97" s="215" t="s">
        <v>851</v>
      </c>
      <c r="B97" s="216" t="s">
        <v>1252</v>
      </c>
      <c r="C97" s="220" t="s">
        <v>1356</v>
      </c>
      <c r="D97" s="216"/>
      <c r="E97" s="216" t="s">
        <v>1228</v>
      </c>
      <c r="F97" s="216" t="s">
        <v>851</v>
      </c>
      <c r="G97" s="216" t="s">
        <v>14357</v>
      </c>
      <c r="H97" s="217">
        <v>0</v>
      </c>
      <c r="I97" s="218" t="s">
        <v>1972</v>
      </c>
      <c r="J97" s="218" t="s">
        <v>1973</v>
      </c>
      <c r="K97" s="267"/>
      <c r="L97" s="267"/>
      <c r="M97" s="267"/>
      <c r="N97" s="267"/>
      <c r="O97" s="267"/>
      <c r="P97" s="219"/>
      <c r="Q97" s="268"/>
      <c r="R97" s="216" t="str">
        <f ca="1">IF(ISERROR($V97),"",OFFSET('Smelter Look-up'!$C$4,$V97-4,0)&amp;"")</f>
        <v>Mitsui Mining and Smelting Co., Ltd.</v>
      </c>
      <c r="S97" s="224" t="str">
        <f t="shared" ca="1" si="3"/>
        <v>JP</v>
      </c>
      <c r="T97" s="224" t="str">
        <f ca="1">IF(B97="","",IF(ISERROR(MATCH($J97,SorP!$B$1:$B$6230,0)),"",INDIRECT("'SorP'!$A$"&amp;MATCH($J97,SorP!$B$1:$B$6230,0))))</f>
        <v>JP-40</v>
      </c>
      <c r="U97" s="239"/>
      <c r="V97" s="269">
        <f>IF(C97="",NA(),MATCH($B97&amp;$C97,'Smelter Look-up'!$J:$J,0))</f>
        <v>323</v>
      </c>
      <c r="W97" s="270"/>
      <c r="X97" s="270">
        <f t="shared" si="4"/>
        <v>0</v>
      </c>
      <c r="Y97" s="270"/>
      <c r="Z97" s="270"/>
      <c r="AB97" s="272" t="str">
        <f t="shared" si="5"/>
        <v>TantalumMitsui Mining and Smelting Co., Ltd.</v>
      </c>
    </row>
    <row r="98" spans="1:28" s="271" customFormat="1" ht="23.25" customHeight="1">
      <c r="A98" s="215" t="s">
        <v>803</v>
      </c>
      <c r="B98" s="216" t="s">
        <v>1250</v>
      </c>
      <c r="C98" s="220" t="s">
        <v>1356</v>
      </c>
      <c r="D98" s="216"/>
      <c r="E98" s="216" t="s">
        <v>1228</v>
      </c>
      <c r="F98" s="216" t="s">
        <v>803</v>
      </c>
      <c r="G98" s="216" t="s">
        <v>14357</v>
      </c>
      <c r="H98" s="217">
        <v>0</v>
      </c>
      <c r="I98" s="218" t="s">
        <v>1867</v>
      </c>
      <c r="J98" s="218" t="s">
        <v>1866</v>
      </c>
      <c r="K98" s="267"/>
      <c r="L98" s="267"/>
      <c r="M98" s="267"/>
      <c r="N98" s="267"/>
      <c r="O98" s="267"/>
      <c r="P98" s="219"/>
      <c r="Q98" s="268"/>
      <c r="R98" s="216" t="str">
        <f ca="1">IF(ISERROR($V98),"",OFFSET('Smelter Look-up'!$C$4,$V98-4,0)&amp;"")</f>
        <v>Mitsui Mining and Smelting Co., Ltd.</v>
      </c>
      <c r="S98" s="224" t="str">
        <f t="shared" ca="1" si="3"/>
        <v>JP</v>
      </c>
      <c r="T98" s="224" t="str">
        <f ca="1">IF(B98="","",IF(ISERROR(MATCH($J98,SorP!$B$1:$B$6230,0)),"",INDIRECT("'SorP'!$A$"&amp;MATCH($J98,SorP!$B$1:$B$6230,0))))</f>
        <v>JP-34</v>
      </c>
      <c r="U98" s="239"/>
      <c r="V98" s="269">
        <f>IF(C98="",NA(),MATCH($B98&amp;$C98,'Smelter Look-up'!$J:$J,0))</f>
        <v>157</v>
      </c>
      <c r="W98" s="270"/>
      <c r="X98" s="270">
        <f t="shared" si="4"/>
        <v>0</v>
      </c>
      <c r="Y98" s="270"/>
      <c r="Z98" s="270"/>
      <c r="AB98" s="272" t="str">
        <f t="shared" si="5"/>
        <v>GoldMitsui Mining and Smelting Co., Ltd.</v>
      </c>
    </row>
    <row r="99" spans="1:28" s="271" customFormat="1" ht="23.25" customHeight="1">
      <c r="A99" s="215" t="s">
        <v>852</v>
      </c>
      <c r="B99" s="216" t="s">
        <v>1252</v>
      </c>
      <c r="C99" s="220" t="s">
        <v>3221</v>
      </c>
      <c r="D99" s="216"/>
      <c r="E99" s="216" t="s">
        <v>1223</v>
      </c>
      <c r="F99" s="216" t="s">
        <v>852</v>
      </c>
      <c r="G99" s="216" t="s">
        <v>14357</v>
      </c>
      <c r="H99" s="217">
        <v>0</v>
      </c>
      <c r="I99" s="218" t="s">
        <v>1974</v>
      </c>
      <c r="J99" s="218" t="s">
        <v>1975</v>
      </c>
      <c r="K99" s="267"/>
      <c r="L99" s="267"/>
      <c r="M99" s="267"/>
      <c r="N99" s="267"/>
      <c r="O99" s="267"/>
      <c r="P99" s="219"/>
      <c r="Q99" s="268"/>
      <c r="R99" s="216" t="str">
        <f ca="1">IF(ISERROR($V99),"",OFFSET('Smelter Look-up'!$C$4,$V99-4,0)&amp;"")</f>
        <v>NPM Silmet AS</v>
      </c>
      <c r="S99" s="224" t="str">
        <f t="shared" ca="1" si="3"/>
        <v>EE</v>
      </c>
      <c r="T99" s="224" t="str">
        <f ca="1">IF(B99="","",IF(ISERROR(MATCH($J99,SorP!$B$1:$B$6230,0)),"",INDIRECT("'SorP'!$A$"&amp;MATCH($J99,SorP!$B$1:$B$6230,0))))</f>
        <v>EE-44</v>
      </c>
      <c r="U99" s="239"/>
      <c r="V99" s="269">
        <f>IF(C99="",NA(),MATCH($B99&amp;$C99,'Smelter Look-up'!$J:$J,0))</f>
        <v>327</v>
      </c>
      <c r="W99" s="270"/>
      <c r="X99" s="270">
        <f t="shared" si="4"/>
        <v>0</v>
      </c>
      <c r="Y99" s="270"/>
      <c r="Z99" s="270"/>
      <c r="AB99" s="272" t="str">
        <f t="shared" si="5"/>
        <v>TantalumNPM Silmet AS</v>
      </c>
    </row>
    <row r="100" spans="1:28" s="271" customFormat="1" ht="23.25" customHeight="1">
      <c r="A100" s="215" t="s">
        <v>804</v>
      </c>
      <c r="B100" s="216" t="s">
        <v>1250</v>
      </c>
      <c r="C100" s="220" t="s">
        <v>1027</v>
      </c>
      <c r="D100" s="216"/>
      <c r="E100" s="216" t="s">
        <v>999</v>
      </c>
      <c r="F100" s="216" t="s">
        <v>804</v>
      </c>
      <c r="G100" s="216" t="s">
        <v>14357</v>
      </c>
      <c r="H100" s="217">
        <v>0</v>
      </c>
      <c r="I100" s="218" t="s">
        <v>1869</v>
      </c>
      <c r="J100" s="218" t="s">
        <v>10764</v>
      </c>
      <c r="K100" s="267"/>
      <c r="L100" s="267"/>
      <c r="M100" s="267"/>
      <c r="N100" s="267"/>
      <c r="O100" s="267"/>
      <c r="P100" s="219"/>
      <c r="Q100" s="268"/>
      <c r="R100" s="216" t="str">
        <f ca="1">IF(ISERROR($V100),"",OFFSET('Smelter Look-up'!$C$4,$V100-4,0)&amp;"")</f>
        <v>Moscow Special Alloys Processing Plant</v>
      </c>
      <c r="S100" s="224" t="str">
        <f t="shared" ca="1" si="3"/>
        <v>RU</v>
      </c>
      <c r="T100" s="224" t="str">
        <f ca="1">IF(B100="","",IF(ISERROR(MATCH($J100,SorP!$B$1:$B$6230,0)),"",INDIRECT("'SorP'!$A$"&amp;MATCH($J100,SorP!$B$1:$B$6230,0))))</f>
        <v>RU-MOW</v>
      </c>
      <c r="U100" s="239"/>
      <c r="V100" s="269">
        <f>IF(C100="",NA(),MATCH($B100&amp;$C100,'Smelter Look-up'!$J:$J,0))</f>
        <v>162</v>
      </c>
      <c r="W100" s="270"/>
      <c r="X100" s="270">
        <f t="shared" si="4"/>
        <v>0</v>
      </c>
      <c r="Y100" s="270"/>
      <c r="Z100" s="270"/>
      <c r="AB100" s="272" t="str">
        <f t="shared" si="5"/>
        <v>GoldMoscow Special Alloys Processing Plant</v>
      </c>
    </row>
    <row r="101" spans="1:28" s="271" customFormat="1" ht="23.25" customHeight="1">
      <c r="A101" s="215" t="s">
        <v>805</v>
      </c>
      <c r="B101" s="216" t="s">
        <v>1250</v>
      </c>
      <c r="C101" s="220" t="s">
        <v>13319</v>
      </c>
      <c r="D101" s="216"/>
      <c r="E101" s="216" t="s">
        <v>1005</v>
      </c>
      <c r="F101" s="216" t="s">
        <v>805</v>
      </c>
      <c r="G101" s="216" t="s">
        <v>14357</v>
      </c>
      <c r="H101" s="217">
        <v>0</v>
      </c>
      <c r="I101" s="218" t="s">
        <v>1870</v>
      </c>
      <c r="J101" s="218" t="s">
        <v>12140</v>
      </c>
      <c r="K101" s="267"/>
      <c r="L101" s="267"/>
      <c r="M101" s="267"/>
      <c r="N101" s="267"/>
      <c r="O101" s="267"/>
      <c r="P101" s="219"/>
      <c r="Q101" s="268"/>
      <c r="R101" s="216" t="str">
        <f ca="1">IF(ISERROR($V101),"",OFFSET('Smelter Look-up'!$C$4,$V101-4,0)&amp;"")</f>
        <v>Nadir Metal Rafineri San. Ve Tic. A.S.</v>
      </c>
      <c r="S101" s="224" t="str">
        <f t="shared" ca="1" si="3"/>
        <v>TR</v>
      </c>
      <c r="T101" s="224" t="str">
        <f ca="1">IF(B101="","",IF(ISERROR(MATCH($J101,SorP!$B$1:$B$6230,0)),"",INDIRECT("'SorP'!$A$"&amp;MATCH($J101,SorP!$B$1:$B$6230,0))))</f>
        <v>TR-34</v>
      </c>
      <c r="U101" s="239"/>
      <c r="V101" s="269">
        <f>IF(C101="",NA(),MATCH($B101&amp;$C101,'Smelter Look-up'!$J:$J,0))</f>
        <v>163</v>
      </c>
      <c r="W101" s="270"/>
      <c r="X101" s="270">
        <f t="shared" si="4"/>
        <v>0</v>
      </c>
      <c r="Y101" s="270"/>
      <c r="Z101" s="270"/>
      <c r="AB101" s="272" t="str">
        <f t="shared" si="5"/>
        <v>GoldNadir Metal Rafineri San. Ve Tic. A.S.</v>
      </c>
    </row>
    <row r="102" spans="1:28" s="271" customFormat="1" ht="23.25" customHeight="1">
      <c r="A102" s="215" t="s">
        <v>2040</v>
      </c>
      <c r="B102" s="216" t="s">
        <v>1251</v>
      </c>
      <c r="C102" s="220" t="s">
        <v>14294</v>
      </c>
      <c r="D102" s="216"/>
      <c r="E102" s="216" t="s">
        <v>1220</v>
      </c>
      <c r="F102" s="216" t="s">
        <v>2040</v>
      </c>
      <c r="G102" s="216" t="s">
        <v>14357</v>
      </c>
      <c r="H102" s="217">
        <v>0</v>
      </c>
      <c r="I102" s="218" t="s">
        <v>2024</v>
      </c>
      <c r="J102" s="218" t="s">
        <v>15233</v>
      </c>
      <c r="K102" s="267"/>
      <c r="L102" s="267"/>
      <c r="M102" s="267"/>
      <c r="N102" s="267"/>
      <c r="O102" s="267"/>
      <c r="P102" s="219"/>
      <c r="Q102" s="268"/>
      <c r="R102" s="216" t="str">
        <f ca="1">IF(ISERROR($V102),"",OFFSET('Smelter Look-up'!$C$4,$V102-4,0)&amp;"")</f>
        <v>Jiangxi New Nanshan Technology Ltd.</v>
      </c>
      <c r="S102" s="224" t="str">
        <f t="shared" ca="1" si="3"/>
        <v>CN</v>
      </c>
      <c r="T102" s="224" t="str">
        <f ca="1">IF(B102="","",IF(ISERROR(MATCH($J102,SorP!$B$1:$B$6230,0)),"",INDIRECT("'SorP'!$A$"&amp;MATCH($J102,SorP!$B$1:$B$6230,0))))</f>
        <v>CN-JX</v>
      </c>
      <c r="U102" s="239"/>
      <c r="V102" s="269">
        <f>IF(C102="",NA(),MATCH($B102&amp;$C102,'Smelter Look-up'!$J:$J,0))</f>
        <v>409</v>
      </c>
      <c r="W102" s="270"/>
      <c r="X102" s="270">
        <f t="shared" si="4"/>
        <v>0</v>
      </c>
      <c r="Y102" s="270"/>
      <c r="Z102" s="270"/>
      <c r="AB102" s="272" t="str">
        <f t="shared" si="5"/>
        <v>TinJiangxi New Nanshan Technology Ltd.</v>
      </c>
    </row>
    <row r="103" spans="1:28" s="271" customFormat="1" ht="23.25" customHeight="1">
      <c r="A103" s="215" t="s">
        <v>807</v>
      </c>
      <c r="B103" s="216" t="s">
        <v>1250</v>
      </c>
      <c r="C103" s="220" t="s">
        <v>2564</v>
      </c>
      <c r="D103" s="216"/>
      <c r="E103" s="216" t="s">
        <v>1228</v>
      </c>
      <c r="F103" s="216" t="s">
        <v>807</v>
      </c>
      <c r="G103" s="216" t="s">
        <v>14357</v>
      </c>
      <c r="H103" s="217">
        <v>0</v>
      </c>
      <c r="I103" s="218" t="s">
        <v>1872</v>
      </c>
      <c r="J103" s="218" t="s">
        <v>1873</v>
      </c>
      <c r="K103" s="267"/>
      <c r="L103" s="267"/>
      <c r="M103" s="267"/>
      <c r="N103" s="267"/>
      <c r="O103" s="267"/>
      <c r="P103" s="219"/>
      <c r="Q103" s="268"/>
      <c r="R103" s="216" t="str">
        <f ca="1">IF(ISERROR($V103),"",OFFSET('Smelter Look-up'!$C$4,$V103-4,0)&amp;"")</f>
        <v>Nihon Material Co., Ltd.</v>
      </c>
      <c r="S103" s="224" t="str">
        <f t="shared" ca="1" si="3"/>
        <v>JP</v>
      </c>
      <c r="T103" s="224" t="str">
        <f ca="1">IF(B103="","",IF(ISERROR(MATCH($J103,SorP!$B$1:$B$6230,0)),"",INDIRECT("'SorP'!$A$"&amp;MATCH($J103,SorP!$B$1:$B$6230,0))))</f>
        <v>JP-12</v>
      </c>
      <c r="U103" s="239"/>
      <c r="V103" s="269">
        <f>IF(C103="",NA(),MATCH($B103&amp;$C103,'Smelter Look-up'!$J:$J,0))</f>
        <v>167</v>
      </c>
      <c r="W103" s="270"/>
      <c r="X103" s="270">
        <f t="shared" si="4"/>
        <v>0</v>
      </c>
      <c r="Y103" s="270"/>
      <c r="Z103" s="270"/>
      <c r="AB103" s="272" t="str">
        <f t="shared" si="5"/>
        <v>GoldNihon Material Co., Ltd.</v>
      </c>
    </row>
    <row r="104" spans="1:28" s="271" customFormat="1" ht="23.25" customHeight="1">
      <c r="A104" s="215" t="s">
        <v>853</v>
      </c>
      <c r="B104" s="216" t="s">
        <v>1252</v>
      </c>
      <c r="C104" s="220" t="s">
        <v>1147</v>
      </c>
      <c r="D104" s="216"/>
      <c r="E104" s="216" t="s">
        <v>1220</v>
      </c>
      <c r="F104" s="216" t="s">
        <v>853</v>
      </c>
      <c r="G104" s="216" t="s">
        <v>14357</v>
      </c>
      <c r="H104" s="217">
        <v>0</v>
      </c>
      <c r="I104" s="218" t="s">
        <v>1976</v>
      </c>
      <c r="J104" s="218" t="s">
        <v>15219</v>
      </c>
      <c r="K104" s="267"/>
      <c r="L104" s="267"/>
      <c r="M104" s="267"/>
      <c r="N104" s="267"/>
      <c r="O104" s="267"/>
      <c r="P104" s="219"/>
      <c r="Q104" s="268"/>
      <c r="R104" s="216" t="str">
        <f ca="1">IF(ISERROR($V104),"",OFFSET('Smelter Look-up'!$C$4,$V104-4,0)&amp;"")</f>
        <v>Ningxia Orient Tantalum Industry Co., Ltd.</v>
      </c>
      <c r="S104" s="224" t="str">
        <f t="shared" ca="1" si="3"/>
        <v>CN</v>
      </c>
      <c r="T104" s="224" t="str">
        <f ca="1">IF(B104="","",IF(ISERROR(MATCH($J104,SorP!$B$1:$B$6230,0)),"",INDIRECT("'SorP'!$A$"&amp;MATCH($J104,SorP!$B$1:$B$6230,0))))</f>
        <v>CN-NX</v>
      </c>
      <c r="U104" s="239"/>
      <c r="V104" s="269">
        <f>IF(C104="",NA(),MATCH($B104&amp;$C104,'Smelter Look-up'!$J:$J,0))</f>
        <v>326</v>
      </c>
      <c r="W104" s="270"/>
      <c r="X104" s="270">
        <f t="shared" si="4"/>
        <v>0</v>
      </c>
      <c r="Y104" s="270"/>
      <c r="Z104" s="270"/>
      <c r="AB104" s="272" t="str">
        <f t="shared" si="5"/>
        <v>TantalumNingxia Orient Tantalum Industry Co., Ltd.</v>
      </c>
    </row>
    <row r="105" spans="1:28" s="271" customFormat="1" ht="23.25" customHeight="1">
      <c r="A105" s="215" t="s">
        <v>876</v>
      </c>
      <c r="B105" s="216" t="s">
        <v>1251</v>
      </c>
      <c r="C105" s="220" t="s">
        <v>875</v>
      </c>
      <c r="D105" s="216"/>
      <c r="E105" s="216" t="s">
        <v>1004</v>
      </c>
      <c r="F105" s="216" t="s">
        <v>876</v>
      </c>
      <c r="G105" s="216" t="s">
        <v>14357</v>
      </c>
      <c r="H105" s="217">
        <v>0</v>
      </c>
      <c r="I105" s="218" t="s">
        <v>2970</v>
      </c>
      <c r="J105" s="218" t="s">
        <v>11897</v>
      </c>
      <c r="K105" s="267"/>
      <c r="L105" s="267"/>
      <c r="M105" s="267"/>
      <c r="N105" s="267"/>
      <c r="O105" s="267"/>
      <c r="P105" s="219"/>
      <c r="Q105" s="268"/>
      <c r="R105" s="216" t="str">
        <f ca="1">IF(ISERROR($V105),"",OFFSET('Smelter Look-up'!$C$4,$V105-4,0)&amp;"")</f>
        <v>O.M. Manufacturing (Thailand) Co., Ltd.</v>
      </c>
      <c r="S105" s="224" t="str">
        <f t="shared" ca="1" si="3"/>
        <v>TH</v>
      </c>
      <c r="T105" s="224" t="str">
        <f ca="1">IF(B105="","",IF(ISERROR(MATCH($J105,SorP!$B$1:$B$6230,0)),"",INDIRECT("'SorP'!$A$"&amp;MATCH($J105,SorP!$B$1:$B$6230,0))))</f>
        <v>TH-20</v>
      </c>
      <c r="U105" s="239"/>
      <c r="V105" s="269">
        <f>IF(C105="",NA(),MATCH($B105&amp;$C105,'Smelter Look-up'!$J:$J,0))</f>
        <v>435</v>
      </c>
      <c r="W105" s="270"/>
      <c r="X105" s="270">
        <f t="shared" si="4"/>
        <v>0</v>
      </c>
      <c r="Y105" s="270"/>
      <c r="Z105" s="270"/>
      <c r="AB105" s="272" t="str">
        <f t="shared" si="5"/>
        <v>TinO.M. Manufacturing (Thailand) Co., Ltd.</v>
      </c>
    </row>
    <row r="106" spans="1:28" s="271" customFormat="1" ht="23.25" customHeight="1">
      <c r="A106" s="215" t="s">
        <v>808</v>
      </c>
      <c r="B106" s="216" t="s">
        <v>1250</v>
      </c>
      <c r="C106" s="220" t="s">
        <v>2565</v>
      </c>
      <c r="D106" s="216"/>
      <c r="E106" s="216" t="s">
        <v>1228</v>
      </c>
      <c r="F106" s="216" t="s">
        <v>808</v>
      </c>
      <c r="G106" s="216" t="s">
        <v>14357</v>
      </c>
      <c r="H106" s="217">
        <v>0</v>
      </c>
      <c r="I106" s="218" t="s">
        <v>1875</v>
      </c>
      <c r="J106" s="218" t="s">
        <v>1876</v>
      </c>
      <c r="K106" s="267"/>
      <c r="L106" s="267"/>
      <c r="M106" s="267"/>
      <c r="N106" s="267"/>
      <c r="O106" s="267"/>
      <c r="P106" s="219"/>
      <c r="Q106" s="268"/>
      <c r="R106" s="216" t="str">
        <f ca="1">IF(ISERROR($V106),"",OFFSET('Smelter Look-up'!$C$4,$V106-4,0)&amp;"")</f>
        <v>Ohura Precious Metal Industry Co., Ltd.</v>
      </c>
      <c r="S106" s="224" t="str">
        <f t="shared" ca="1" si="3"/>
        <v>JP</v>
      </c>
      <c r="T106" s="224" t="str">
        <f ca="1">IF(B106="","",IF(ISERROR(MATCH($J106,SorP!$B$1:$B$6230,0)),"",INDIRECT("'SorP'!$A$"&amp;MATCH($J106,SorP!$B$1:$B$6230,0))))</f>
        <v>JP-29</v>
      </c>
      <c r="U106" s="239"/>
      <c r="V106" s="269">
        <f>IF(C106="",NA(),MATCH($B106&amp;$C106,'Smelter Look-up'!$J:$J,0))</f>
        <v>172</v>
      </c>
      <c r="W106" s="270"/>
      <c r="X106" s="270">
        <f t="shared" si="4"/>
        <v>0</v>
      </c>
      <c r="Y106" s="270"/>
      <c r="Z106" s="270"/>
      <c r="AB106" s="272" t="str">
        <f t="shared" si="5"/>
        <v>GoldOhura Precious Metal Industry Co., Ltd.</v>
      </c>
    </row>
    <row r="107" spans="1:28" s="271" customFormat="1" ht="23.25" customHeight="1">
      <c r="A107" s="215" t="s">
        <v>809</v>
      </c>
      <c r="B107" s="216" t="s">
        <v>1250</v>
      </c>
      <c r="C107" s="220" t="s">
        <v>2697</v>
      </c>
      <c r="D107" s="216"/>
      <c r="E107" s="216" t="s">
        <v>999</v>
      </c>
      <c r="F107" s="216" t="s">
        <v>809</v>
      </c>
      <c r="G107" s="216" t="s">
        <v>14357</v>
      </c>
      <c r="H107" s="217">
        <v>0</v>
      </c>
      <c r="I107" s="218" t="s">
        <v>1877</v>
      </c>
      <c r="J107" s="218" t="s">
        <v>10907</v>
      </c>
      <c r="K107" s="267"/>
      <c r="L107" s="267"/>
      <c r="M107" s="267"/>
      <c r="N107" s="267"/>
      <c r="O107" s="267"/>
      <c r="P107" s="219"/>
      <c r="Q107" s="268"/>
      <c r="R107" s="216" t="str">
        <f ca="1">IF(ISERROR($V107),"",OFFSET('Smelter Look-up'!$C$4,$V107-4,0)&amp;"")</f>
        <v>OJSC "The Gulidov Krasnoyarsk Non-Ferrous Metals Plant" (OJSC Krastsvetmet)</v>
      </c>
      <c r="S107" s="224" t="str">
        <f t="shared" ca="1" si="3"/>
        <v>RU</v>
      </c>
      <c r="T107" s="224" t="str">
        <f ca="1">IF(B107="","",IF(ISERROR(MATCH($J107,SorP!$B$1:$B$6230,0)),"",INDIRECT("'SorP'!$A$"&amp;MATCH($J107,SorP!$B$1:$B$6230,0))))</f>
        <v>RU-KYA</v>
      </c>
      <c r="U107" s="239"/>
      <c r="V107" s="269">
        <f>IF(C107="",NA(),MATCH($B107&amp;$C107,'Smelter Look-up'!$J:$J,0))</f>
        <v>173</v>
      </c>
      <c r="W107" s="270"/>
      <c r="X107" s="270">
        <f t="shared" si="4"/>
        <v>0</v>
      </c>
      <c r="Y107" s="270"/>
      <c r="Z107" s="270"/>
      <c r="AB107" s="272" t="str">
        <f t="shared" si="5"/>
        <v>GoldOJSC "The Gulidov Krasnoyarsk Non-Ferrous Metals Plant" (OJSC Krastsvetmet)</v>
      </c>
    </row>
    <row r="108" spans="1:28" s="271" customFormat="1" ht="23.25" customHeight="1">
      <c r="A108" s="215" t="s">
        <v>877</v>
      </c>
      <c r="B108" s="216" t="s">
        <v>1251</v>
      </c>
      <c r="C108" s="220" t="s">
        <v>15423</v>
      </c>
      <c r="D108" s="216"/>
      <c r="E108" s="216" t="s">
        <v>3090</v>
      </c>
      <c r="F108" s="216" t="s">
        <v>877</v>
      </c>
      <c r="G108" s="216" t="s">
        <v>14357</v>
      </c>
      <c r="H108" s="217">
        <v>0</v>
      </c>
      <c r="I108" s="218" t="s">
        <v>2019</v>
      </c>
      <c r="J108" s="218" t="s">
        <v>2019</v>
      </c>
      <c r="K108" s="267"/>
      <c r="L108" s="267"/>
      <c r="M108" s="267"/>
      <c r="N108" s="267"/>
      <c r="O108" s="267"/>
      <c r="P108" s="219"/>
      <c r="Q108" s="268"/>
      <c r="R108" s="216" t="str">
        <f ca="1">IF(ISERROR($V108),"",OFFSET('Smelter Look-up'!$C$4,$V108-4,0)&amp;"")</f>
        <v>Operaciones Metalurgicas S.A.</v>
      </c>
      <c r="S108" s="224" t="str">
        <f t="shared" ca="1" si="3"/>
        <v>BO</v>
      </c>
      <c r="T108" s="224" t="str">
        <f ca="1">IF(B108="","",IF(ISERROR(MATCH($J108,SorP!$B$1:$B$6230,0)),"",INDIRECT("'SorP'!$A$"&amp;MATCH($J108,SorP!$B$1:$B$6230,0))))</f>
        <v>BO-O</v>
      </c>
      <c r="U108" s="239"/>
      <c r="V108" s="269">
        <f>IF(C108="",NA(),MATCH($B108&amp;$C108,'Smelter Look-up'!$J:$J,0))</f>
        <v>438</v>
      </c>
      <c r="W108" s="270"/>
      <c r="X108" s="270">
        <f t="shared" si="4"/>
        <v>0</v>
      </c>
      <c r="Y108" s="270"/>
      <c r="Z108" s="270"/>
      <c r="AB108" s="272" t="str">
        <f t="shared" si="5"/>
        <v>TinOperaciones Metalurgicas S.A.</v>
      </c>
    </row>
    <row r="109" spans="1:28" s="271" customFormat="1" ht="23.25" customHeight="1">
      <c r="A109" s="215" t="s">
        <v>810</v>
      </c>
      <c r="B109" s="216" t="s">
        <v>1250</v>
      </c>
      <c r="C109" s="220" t="s">
        <v>2937</v>
      </c>
      <c r="D109" s="216"/>
      <c r="E109" s="216" t="s">
        <v>1218</v>
      </c>
      <c r="F109" s="216" t="s">
        <v>810</v>
      </c>
      <c r="G109" s="216" t="s">
        <v>14357</v>
      </c>
      <c r="H109" s="217">
        <v>0</v>
      </c>
      <c r="I109" s="218" t="s">
        <v>1879</v>
      </c>
      <c r="J109" s="218" t="s">
        <v>1786</v>
      </c>
      <c r="K109" s="267"/>
      <c r="L109" s="267"/>
      <c r="M109" s="267"/>
      <c r="N109" s="267"/>
      <c r="O109" s="267"/>
      <c r="P109" s="219"/>
      <c r="Q109" s="268"/>
      <c r="R109" s="216" t="str">
        <f ca="1">IF(ISERROR($V109),"",OFFSET('Smelter Look-up'!$C$4,$V109-4,0)&amp;"")</f>
        <v>PAMP S.A.</v>
      </c>
      <c r="S109" s="224" t="str">
        <f t="shared" ca="1" si="3"/>
        <v>CH</v>
      </c>
      <c r="T109" s="224" t="str">
        <f ca="1">IF(B109="","",IF(ISERROR(MATCH($J109,SorP!$B$1:$B$6230,0)),"",INDIRECT("'SorP'!$A$"&amp;MATCH($J109,SorP!$B$1:$B$6230,0))))</f>
        <v>CH-TI</v>
      </c>
      <c r="U109" s="239"/>
      <c r="V109" s="269">
        <f>IF(C109="",NA(),MATCH($B109&amp;$C109,'Smelter Look-up'!$J:$J,0))</f>
        <v>176</v>
      </c>
      <c r="W109" s="270"/>
      <c r="X109" s="270">
        <f t="shared" si="4"/>
        <v>0</v>
      </c>
      <c r="Y109" s="270"/>
      <c r="Z109" s="270"/>
      <c r="AB109" s="272" t="str">
        <f t="shared" si="5"/>
        <v>GoldPAMP S.A.</v>
      </c>
    </row>
    <row r="110" spans="1:28" s="271" customFormat="1" ht="23.25" customHeight="1">
      <c r="A110" s="215" t="s">
        <v>812</v>
      </c>
      <c r="B110" s="216" t="s">
        <v>1250</v>
      </c>
      <c r="C110" s="220" t="s">
        <v>1028</v>
      </c>
      <c r="D110" s="216"/>
      <c r="E110" s="216" t="s">
        <v>999</v>
      </c>
      <c r="F110" s="216" t="s">
        <v>812</v>
      </c>
      <c r="G110" s="216" t="s">
        <v>14357</v>
      </c>
      <c r="H110" s="217">
        <v>0</v>
      </c>
      <c r="I110" s="218" t="s">
        <v>1880</v>
      </c>
      <c r="J110" s="218" t="s">
        <v>10767</v>
      </c>
      <c r="K110" s="267"/>
      <c r="L110" s="267"/>
      <c r="M110" s="267"/>
      <c r="N110" s="267"/>
      <c r="O110" s="267"/>
      <c r="P110" s="219"/>
      <c r="Q110" s="268"/>
      <c r="R110" s="216" t="str">
        <f ca="1">IF(ISERROR($V110),"",OFFSET('Smelter Look-up'!$C$4,$V110-4,0)&amp;"")</f>
        <v>Prioksky Plant of Non-Ferrous Metals</v>
      </c>
      <c r="S110" s="224" t="str">
        <f t="shared" ca="1" si="3"/>
        <v>RU</v>
      </c>
      <c r="T110" s="224" t="str">
        <f ca="1">IF(B110="","",IF(ISERROR(MATCH($J110,SorP!$B$1:$B$6230,0)),"",INDIRECT("'SorP'!$A$"&amp;MATCH($J110,SorP!$B$1:$B$6230,0))))</f>
        <v>RU-RYA</v>
      </c>
      <c r="U110" s="239"/>
      <c r="V110" s="269">
        <f>IF(C110="",NA(),MATCH($B110&amp;$C110,'Smelter Look-up'!$J:$J,0))</f>
        <v>183</v>
      </c>
      <c r="W110" s="270"/>
      <c r="X110" s="270">
        <f t="shared" si="4"/>
        <v>0</v>
      </c>
      <c r="Y110" s="270"/>
      <c r="Z110" s="270"/>
      <c r="AB110" s="272" t="str">
        <f t="shared" si="5"/>
        <v>GoldPrioksky Plant of Non-Ferrous Metals</v>
      </c>
    </row>
    <row r="111" spans="1:28" s="271" customFormat="1" ht="23.25" customHeight="1">
      <c r="A111" s="215" t="s">
        <v>813</v>
      </c>
      <c r="B111" s="216" t="s">
        <v>1250</v>
      </c>
      <c r="C111" s="220" t="s">
        <v>1358</v>
      </c>
      <c r="D111" s="216"/>
      <c r="E111" s="216" t="s">
        <v>1225</v>
      </c>
      <c r="F111" s="216" t="s">
        <v>813</v>
      </c>
      <c r="G111" s="216" t="s">
        <v>14357</v>
      </c>
      <c r="H111" s="217">
        <v>0</v>
      </c>
      <c r="I111" s="218" t="s">
        <v>1881</v>
      </c>
      <c r="J111" s="218" t="s">
        <v>6735</v>
      </c>
      <c r="K111" s="267"/>
      <c r="L111" s="267"/>
      <c r="M111" s="267"/>
      <c r="N111" s="267"/>
      <c r="O111" s="267"/>
      <c r="P111" s="219"/>
      <c r="Q111" s="268"/>
      <c r="R111" s="216" t="str">
        <f ca="1">IF(ISERROR($V111),"",OFFSET('Smelter Look-up'!$C$4,$V111-4,0)&amp;"")</f>
        <v>PT Aneka Tambang (Persero) Tbk</v>
      </c>
      <c r="S111" s="224" t="str">
        <f t="shared" ca="1" si="3"/>
        <v>ID</v>
      </c>
      <c r="T111" s="224" t="str">
        <f ca="1">IF(B111="","",IF(ISERROR(MATCH($J111,SorP!$B$1:$B$6230,0)),"",INDIRECT("'SorP'!$A$"&amp;MATCH($J111,SorP!$B$1:$B$6230,0))))</f>
        <v>ID-JK</v>
      </c>
      <c r="U111" s="239"/>
      <c r="V111" s="269">
        <f>IF(C111="",NA(),MATCH($B111&amp;$C111,'Smelter Look-up'!$J:$J,0))</f>
        <v>185</v>
      </c>
      <c r="W111" s="270"/>
      <c r="X111" s="270">
        <f t="shared" si="4"/>
        <v>0</v>
      </c>
      <c r="Y111" s="270"/>
      <c r="Z111" s="270"/>
      <c r="AB111" s="272" t="str">
        <f t="shared" si="5"/>
        <v>GoldPT Aneka Tambang (Persero) Tbk</v>
      </c>
    </row>
    <row r="112" spans="1:28" s="271" customFormat="1" ht="23.25" customHeight="1">
      <c r="A112" s="215" t="s">
        <v>878</v>
      </c>
      <c r="B112" s="216" t="s">
        <v>1251</v>
      </c>
      <c r="C112" s="220" t="s">
        <v>959</v>
      </c>
      <c r="D112" s="216"/>
      <c r="E112" s="216" t="s">
        <v>1225</v>
      </c>
      <c r="F112" s="216" t="s">
        <v>878</v>
      </c>
      <c r="G112" s="216" t="s">
        <v>14357</v>
      </c>
      <c r="H112" s="217">
        <v>0</v>
      </c>
      <c r="I112" s="218" t="s">
        <v>2015</v>
      </c>
      <c r="J112" s="218" t="s">
        <v>13917</v>
      </c>
      <c r="K112" s="267"/>
      <c r="L112" s="267"/>
      <c r="M112" s="267"/>
      <c r="N112" s="267"/>
      <c r="O112" s="267"/>
      <c r="P112" s="219"/>
      <c r="Q112" s="268"/>
      <c r="R112" s="216" t="str">
        <f ca="1">IF(ISERROR($V112),"",OFFSET('Smelter Look-up'!$C$4,$V112-4,0)&amp;"")</f>
        <v>PT Artha Cipta Langgeng</v>
      </c>
      <c r="S112" s="224" t="str">
        <f t="shared" ca="1" si="3"/>
        <v>ID</v>
      </c>
      <c r="T112" s="224" t="str">
        <f ca="1">IF(B112="","",IF(ISERROR(MATCH($J112,SorP!$B$1:$B$6230,0)),"",INDIRECT("'SorP'!$A$"&amp;MATCH($J112,SorP!$B$1:$B$6230,0))))</f>
        <v>ID-BB</v>
      </c>
      <c r="U112" s="239"/>
      <c r="V112" s="269">
        <f>IF(C112="",NA(),MATCH($B112&amp;$C112,'Smelter Look-up'!$J:$J,0))</f>
        <v>443</v>
      </c>
      <c r="W112" s="270"/>
      <c r="X112" s="270">
        <f t="shared" si="4"/>
        <v>0</v>
      </c>
      <c r="Y112" s="270"/>
      <c r="Z112" s="270"/>
      <c r="AB112" s="272" t="str">
        <f t="shared" si="5"/>
        <v>TinPT Artha Cipta Langgeng</v>
      </c>
    </row>
    <row r="113" spans="1:28" s="271" customFormat="1" ht="23.25" customHeight="1">
      <c r="A113" s="215" t="s">
        <v>879</v>
      </c>
      <c r="B113" s="216" t="s">
        <v>1251</v>
      </c>
      <c r="C113" s="220" t="s">
        <v>960</v>
      </c>
      <c r="D113" s="216"/>
      <c r="E113" s="216" t="s">
        <v>1225</v>
      </c>
      <c r="F113" s="216" t="s">
        <v>879</v>
      </c>
      <c r="G113" s="216" t="s">
        <v>14357</v>
      </c>
      <c r="H113" s="217">
        <v>0</v>
      </c>
      <c r="I113" s="218" t="s">
        <v>2042</v>
      </c>
      <c r="J113" s="218" t="s">
        <v>13917</v>
      </c>
      <c r="K113" s="267"/>
      <c r="L113" s="267"/>
      <c r="M113" s="267"/>
      <c r="N113" s="267"/>
      <c r="O113" s="267"/>
      <c r="P113" s="219"/>
      <c r="Q113" s="268"/>
      <c r="R113" s="216" t="str">
        <f ca="1">IF(ISERROR($V113),"",OFFSET('Smelter Look-up'!$C$4,$V113-4,0)&amp;"")</f>
        <v>PT Babel Inti Perkasa</v>
      </c>
      <c r="S113" s="224" t="str">
        <f t="shared" ca="1" si="3"/>
        <v>ID</v>
      </c>
      <c r="T113" s="224" t="str">
        <f ca="1">IF(B113="","",IF(ISERROR(MATCH($J113,SorP!$B$1:$B$6230,0)),"",INDIRECT("'SorP'!$A$"&amp;MATCH($J113,SorP!$B$1:$B$6230,0))))</f>
        <v>ID-BB</v>
      </c>
      <c r="U113" s="239"/>
      <c r="V113" s="269">
        <f>IF(C113="",NA(),MATCH($B113&amp;$C113,'Smelter Look-up'!$J:$J,0))</f>
        <v>445</v>
      </c>
      <c r="W113" s="270"/>
      <c r="X113" s="270">
        <f t="shared" si="4"/>
        <v>0</v>
      </c>
      <c r="Y113" s="270"/>
      <c r="Z113" s="270"/>
      <c r="AB113" s="272" t="str">
        <f t="shared" si="5"/>
        <v>TinPT Babel Inti Perkasa</v>
      </c>
    </row>
    <row r="114" spans="1:28" s="271" customFormat="1" ht="23.25" customHeight="1">
      <c r="A114" s="215" t="s">
        <v>15428</v>
      </c>
      <c r="B114" s="216" t="s">
        <v>1251</v>
      </c>
      <c r="C114" s="220" t="s">
        <v>15427</v>
      </c>
      <c r="D114" s="216"/>
      <c r="E114" s="216" t="s">
        <v>1225</v>
      </c>
      <c r="F114" s="216" t="s">
        <v>15428</v>
      </c>
      <c r="G114" s="216" t="s">
        <v>15499</v>
      </c>
      <c r="H114" s="217" t="s">
        <v>15499</v>
      </c>
      <c r="I114" s="218" t="s">
        <v>15499</v>
      </c>
      <c r="J114" s="218" t="s">
        <v>15499</v>
      </c>
      <c r="K114" s="267"/>
      <c r="L114" s="267"/>
      <c r="M114" s="267"/>
      <c r="N114" s="267"/>
      <c r="O114" s="267"/>
      <c r="P114" s="219"/>
      <c r="Q114" s="268"/>
      <c r="R114" s="216" t="str">
        <f ca="1">IF(ISERROR($V114),"",OFFSET('Smelter Look-up'!$C$4,$V114-4,0)&amp;"")</f>
        <v>PT Babel Surya Alam Lestari</v>
      </c>
      <c r="S114" s="224" t="str">
        <f t="shared" ca="1" si="3"/>
        <v>ID</v>
      </c>
      <c r="T114" s="224" t="str">
        <f ca="1">IF(B114="","",IF(ISERROR(MATCH($J114,SorP!$B$1:$B$6230,0)),"",INDIRECT("'SorP'!$A$"&amp;MATCH($J114,SorP!$B$1:$B$6230,0))))</f>
        <v/>
      </c>
      <c r="U114" s="239"/>
      <c r="V114" s="269">
        <f>IF(C114="",NA(),MATCH($B114&amp;$C114,'Smelter Look-up'!$J:$J,0))</f>
        <v>446</v>
      </c>
      <c r="W114" s="270"/>
      <c r="X114" s="270">
        <f t="shared" si="4"/>
        <v>0</v>
      </c>
      <c r="Y114" s="270"/>
      <c r="Z114" s="270"/>
      <c r="AB114" s="272" t="str">
        <f t="shared" si="5"/>
        <v>TinPT Babel Surya Alam Lestari</v>
      </c>
    </row>
    <row r="115" spans="1:28" s="271" customFormat="1" ht="23.25" customHeight="1">
      <c r="A115" s="215" t="s">
        <v>880</v>
      </c>
      <c r="B115" s="216" t="s">
        <v>1251</v>
      </c>
      <c r="C115" s="220" t="s">
        <v>697</v>
      </c>
      <c r="D115" s="216"/>
      <c r="E115" s="216" t="s">
        <v>1225</v>
      </c>
      <c r="F115" s="216" t="s">
        <v>880</v>
      </c>
      <c r="G115" s="216" t="s">
        <v>14357</v>
      </c>
      <c r="H115" s="217">
        <v>0</v>
      </c>
      <c r="I115" s="218" t="s">
        <v>2015</v>
      </c>
      <c r="J115" s="218" t="s">
        <v>13917</v>
      </c>
      <c r="K115" s="267"/>
      <c r="L115" s="267"/>
      <c r="M115" s="267"/>
      <c r="N115" s="267"/>
      <c r="O115" s="267"/>
      <c r="P115" s="219"/>
      <c r="Q115" s="268"/>
      <c r="R115" s="216" t="str">
        <f ca="1">IF(ISERROR($V115),"",OFFSET('Smelter Look-up'!$C$4,$V115-4,0)&amp;"")</f>
        <v>PT Bangka Tin Industry</v>
      </c>
      <c r="S115" s="224" t="str">
        <f t="shared" ca="1" si="3"/>
        <v>ID</v>
      </c>
      <c r="T115" s="224" t="str">
        <f ca="1">IF(B115="","",IF(ISERROR(MATCH($J115,SorP!$B$1:$B$6230,0)),"",INDIRECT("'SorP'!$A$"&amp;MATCH($J115,SorP!$B$1:$B$6230,0))))</f>
        <v>ID-BB</v>
      </c>
      <c r="U115" s="239"/>
      <c r="V115" s="269">
        <f>IF(C115="",NA(),MATCH($B115&amp;$C115,'Smelter Look-up'!$J:$J,0))</f>
        <v>450</v>
      </c>
      <c r="W115" s="270"/>
      <c r="X115" s="270">
        <f t="shared" si="4"/>
        <v>0</v>
      </c>
      <c r="Y115" s="270"/>
      <c r="Z115" s="270"/>
      <c r="AB115" s="272" t="str">
        <f t="shared" si="5"/>
        <v>TinPT Bangka Tin Industry</v>
      </c>
    </row>
    <row r="116" spans="1:28" s="271" customFormat="1" ht="23.25" customHeight="1">
      <c r="A116" s="215" t="s">
        <v>881</v>
      </c>
      <c r="B116" s="216" t="s">
        <v>1251</v>
      </c>
      <c r="C116" s="220" t="s">
        <v>14250</v>
      </c>
      <c r="D116" s="216"/>
      <c r="E116" s="216" t="s">
        <v>1225</v>
      </c>
      <c r="F116" s="216" t="s">
        <v>881</v>
      </c>
      <c r="G116" s="216" t="s">
        <v>14357</v>
      </c>
      <c r="H116" s="217">
        <v>0</v>
      </c>
      <c r="I116" s="218" t="s">
        <v>14024</v>
      </c>
      <c r="J116" s="218" t="s">
        <v>13917</v>
      </c>
      <c r="K116" s="267"/>
      <c r="L116" s="267"/>
      <c r="M116" s="267"/>
      <c r="N116" s="267"/>
      <c r="O116" s="267"/>
      <c r="P116" s="219"/>
      <c r="Q116" s="268"/>
      <c r="R116" s="216" t="str">
        <f ca="1">IF(ISERROR($V116),"",OFFSET('Smelter Look-up'!$C$4,$V116-4,0)&amp;"")</f>
        <v>PT Belitung Industri Sejahtera</v>
      </c>
      <c r="S116" s="224" t="str">
        <f t="shared" ca="1" si="3"/>
        <v>ID</v>
      </c>
      <c r="T116" s="224" t="str">
        <f ca="1">IF(B116="","",IF(ISERROR(MATCH($J116,SorP!$B$1:$B$6230,0)),"",INDIRECT("'SorP'!$A$"&amp;MATCH($J116,SorP!$B$1:$B$6230,0))))</f>
        <v>ID-BB</v>
      </c>
      <c r="U116" s="239"/>
      <c r="V116" s="269">
        <f>IF(C116="",NA(),MATCH($B116&amp;$C116,'Smelter Look-up'!$J:$J,0))</f>
        <v>451</v>
      </c>
      <c r="W116" s="270"/>
      <c r="X116" s="270">
        <f t="shared" si="4"/>
        <v>0</v>
      </c>
      <c r="Y116" s="270"/>
      <c r="Z116" s="270"/>
      <c r="AB116" s="272" t="str">
        <f t="shared" si="5"/>
        <v>TinPT Belitung Industri Sejahtera</v>
      </c>
    </row>
    <row r="117" spans="1:28" s="271" customFormat="1" ht="23.25" customHeight="1">
      <c r="A117" s="215" t="s">
        <v>882</v>
      </c>
      <c r="B117" s="216" t="s">
        <v>1251</v>
      </c>
      <c r="C117" s="220" t="s">
        <v>716</v>
      </c>
      <c r="D117" s="216"/>
      <c r="E117" s="216" t="s">
        <v>1225</v>
      </c>
      <c r="F117" s="216" t="s">
        <v>882</v>
      </c>
      <c r="G117" s="216" t="s">
        <v>14357</v>
      </c>
      <c r="H117" s="217">
        <v>0</v>
      </c>
      <c r="I117" s="218" t="s">
        <v>2017</v>
      </c>
      <c r="J117" s="218" t="s">
        <v>13917</v>
      </c>
      <c r="K117" s="267"/>
      <c r="L117" s="267"/>
      <c r="M117" s="267"/>
      <c r="N117" s="267"/>
      <c r="O117" s="267"/>
      <c r="P117" s="219"/>
      <c r="Q117" s="268"/>
      <c r="R117" s="216" t="str">
        <f ca="1">IF(ISERROR($V117),"",OFFSET('Smelter Look-up'!$C$4,$V117-4,0)&amp;"")</f>
        <v>PT Bukit Timah</v>
      </c>
      <c r="S117" s="224" t="str">
        <f t="shared" ca="1" si="3"/>
        <v>ID</v>
      </c>
      <c r="T117" s="224" t="str">
        <f ca="1">IF(B117="","",IF(ISERROR(MATCH($J117,SorP!$B$1:$B$6230,0)),"",INDIRECT("'SorP'!$A$"&amp;MATCH($J117,SorP!$B$1:$B$6230,0))))</f>
        <v>ID-BB</v>
      </c>
      <c r="U117" s="239"/>
      <c r="V117" s="269">
        <f>IF(C117="",NA(),MATCH($B117&amp;$C117,'Smelter Look-up'!$J:$J,0))</f>
        <v>452</v>
      </c>
      <c r="W117" s="270"/>
      <c r="X117" s="270">
        <f t="shared" si="4"/>
        <v>0</v>
      </c>
      <c r="Y117" s="270"/>
      <c r="Z117" s="270"/>
      <c r="AB117" s="272" t="str">
        <f t="shared" si="5"/>
        <v>TinPT Bukit Timah</v>
      </c>
    </row>
    <row r="118" spans="1:28" s="271" customFormat="1" ht="23.25" customHeight="1">
      <c r="A118" s="215" t="s">
        <v>883</v>
      </c>
      <c r="B118" s="216" t="s">
        <v>1251</v>
      </c>
      <c r="C118" s="220" t="s">
        <v>698</v>
      </c>
      <c r="D118" s="216"/>
      <c r="E118" s="216" t="s">
        <v>1225</v>
      </c>
      <c r="F118" s="216" t="s">
        <v>883</v>
      </c>
      <c r="G118" s="216" t="s">
        <v>14357</v>
      </c>
      <c r="H118" s="217">
        <v>0</v>
      </c>
      <c r="I118" s="218" t="s">
        <v>2017</v>
      </c>
      <c r="J118" s="218" t="s">
        <v>13917</v>
      </c>
      <c r="K118" s="267"/>
      <c r="L118" s="267"/>
      <c r="M118" s="267"/>
      <c r="N118" s="267"/>
      <c r="O118" s="267"/>
      <c r="P118" s="219"/>
      <c r="Q118" s="268"/>
      <c r="R118" s="216" t="str">
        <f ca="1">IF(ISERROR($V118),"",OFFSET('Smelter Look-up'!$C$4,$V118-4,0)&amp;"")</f>
        <v>PT DS Jaya Abadi</v>
      </c>
      <c r="S118" s="224" t="str">
        <f t="shared" ca="1" si="3"/>
        <v>ID</v>
      </c>
      <c r="T118" s="224" t="str">
        <f ca="1">IF(B118="","",IF(ISERROR(MATCH($J118,SorP!$B$1:$B$6230,0)),"",INDIRECT("'SorP'!$A$"&amp;MATCH($J118,SorP!$B$1:$B$6230,0))))</f>
        <v>ID-BB</v>
      </c>
      <c r="U118" s="239"/>
      <c r="V118" s="269">
        <f>IF(C118="",NA(),MATCH($B118&amp;$C118,'Smelter Look-up'!$J:$J,0))</f>
        <v>453</v>
      </c>
      <c r="W118" s="270"/>
      <c r="X118" s="270">
        <f t="shared" si="4"/>
        <v>0</v>
      </c>
      <c r="Y118" s="270"/>
      <c r="Z118" s="270"/>
      <c r="AB118" s="272" t="str">
        <f t="shared" si="5"/>
        <v>TinPT DS Jaya Abadi</v>
      </c>
    </row>
    <row r="119" spans="1:28" s="271" customFormat="1" ht="23.25" customHeight="1">
      <c r="A119" s="215" t="s">
        <v>884</v>
      </c>
      <c r="B119" s="216" t="s">
        <v>1251</v>
      </c>
      <c r="C119" s="220" t="s">
        <v>699</v>
      </c>
      <c r="D119" s="216"/>
      <c r="E119" s="216" t="s">
        <v>1225</v>
      </c>
      <c r="F119" s="216" t="s">
        <v>884</v>
      </c>
      <c r="G119" s="216" t="s">
        <v>15499</v>
      </c>
      <c r="H119" s="217" t="s">
        <v>15499</v>
      </c>
      <c r="I119" s="218" t="s">
        <v>15499</v>
      </c>
      <c r="J119" s="218" t="s">
        <v>15499</v>
      </c>
      <c r="K119" s="267"/>
      <c r="L119" s="267"/>
      <c r="M119" s="267"/>
      <c r="N119" s="267"/>
      <c r="O119" s="267"/>
      <c r="P119" s="219"/>
      <c r="Q119" s="268"/>
      <c r="R119" s="216" t="str">
        <f ca="1">IF(ISERROR($V119),"",OFFSET('Smelter Look-up'!$C$4,$V119-4,0)&amp;"")</f>
        <v>PT Karimun Mining</v>
      </c>
      <c r="S119" s="224" t="str">
        <f t="shared" ca="1" si="3"/>
        <v>ID</v>
      </c>
      <c r="T119" s="224" t="str">
        <f ca="1">IF(B119="","",IF(ISERROR(MATCH($J119,SorP!$B$1:$B$6230,0)),"",INDIRECT("'SorP'!$A$"&amp;MATCH($J119,SorP!$B$1:$B$6230,0))))</f>
        <v/>
      </c>
      <c r="U119" s="239"/>
      <c r="V119" s="269">
        <f>IF(C119="",NA(),MATCH($B119&amp;$C119,'Smelter Look-up'!$J:$J,0))</f>
        <v>457</v>
      </c>
      <c r="W119" s="270"/>
      <c r="X119" s="270">
        <f t="shared" si="4"/>
        <v>0</v>
      </c>
      <c r="Y119" s="270"/>
      <c r="Z119" s="270"/>
      <c r="AB119" s="272" t="str">
        <f t="shared" si="5"/>
        <v>TinPT Karimun Mining</v>
      </c>
    </row>
    <row r="120" spans="1:28" s="271" customFormat="1" ht="23.25" customHeight="1">
      <c r="A120" s="215" t="s">
        <v>885</v>
      </c>
      <c r="B120" s="216" t="s">
        <v>1251</v>
      </c>
      <c r="C120" s="220" t="s">
        <v>717</v>
      </c>
      <c r="D120" s="216"/>
      <c r="E120" s="216" t="s">
        <v>1225</v>
      </c>
      <c r="F120" s="216" t="s">
        <v>885</v>
      </c>
      <c r="G120" s="216" t="s">
        <v>14357</v>
      </c>
      <c r="H120" s="217">
        <v>0</v>
      </c>
      <c r="I120" s="218" t="s">
        <v>2015</v>
      </c>
      <c r="J120" s="218" t="s">
        <v>13917</v>
      </c>
      <c r="K120" s="267"/>
      <c r="L120" s="267"/>
      <c r="M120" s="267"/>
      <c r="N120" s="267"/>
      <c r="O120" s="267"/>
      <c r="P120" s="219"/>
      <c r="Q120" s="268"/>
      <c r="R120" s="216" t="str">
        <f ca="1">IF(ISERROR($V120),"",OFFSET('Smelter Look-up'!$C$4,$V120-4,0)&amp;"")</f>
        <v>PT Mitra Stania Prima</v>
      </c>
      <c r="S120" s="224" t="str">
        <f t="shared" ca="1" si="3"/>
        <v>ID</v>
      </c>
      <c r="T120" s="224" t="str">
        <f ca="1">IF(B120="","",IF(ISERROR(MATCH($J120,SorP!$B$1:$B$6230,0)),"",INDIRECT("'SorP'!$A$"&amp;MATCH($J120,SorP!$B$1:$B$6230,0))))</f>
        <v>ID-BB</v>
      </c>
      <c r="U120" s="239"/>
      <c r="V120" s="269">
        <f>IF(C120="",NA(),MATCH($B120&amp;$C120,'Smelter Look-up'!$J:$J,0))</f>
        <v>460</v>
      </c>
      <c r="W120" s="270"/>
      <c r="X120" s="270">
        <f t="shared" si="4"/>
        <v>0</v>
      </c>
      <c r="Y120" s="270"/>
      <c r="Z120" s="270"/>
      <c r="AB120" s="272" t="str">
        <f t="shared" si="5"/>
        <v>TinPT Mitra Stania Prima</v>
      </c>
    </row>
    <row r="121" spans="1:28" s="271" customFormat="1" ht="23.25" customHeight="1">
      <c r="A121" s="215" t="s">
        <v>1520</v>
      </c>
      <c r="B121" s="216" t="s">
        <v>1251</v>
      </c>
      <c r="C121" s="220" t="s">
        <v>1519</v>
      </c>
      <c r="D121" s="216"/>
      <c r="E121" s="216" t="s">
        <v>1225</v>
      </c>
      <c r="F121" s="216" t="s">
        <v>1520</v>
      </c>
      <c r="G121" s="216" t="s">
        <v>14357</v>
      </c>
      <c r="H121" s="217">
        <v>0</v>
      </c>
      <c r="I121" s="218" t="s">
        <v>2015</v>
      </c>
      <c r="J121" s="218" t="s">
        <v>13917</v>
      </c>
      <c r="K121" s="267"/>
      <c r="L121" s="267"/>
      <c r="M121" s="267"/>
      <c r="N121" s="267"/>
      <c r="O121" s="267"/>
      <c r="P121" s="219"/>
      <c r="Q121" s="268"/>
      <c r="R121" s="216" t="str">
        <f ca="1">IF(ISERROR($V121),"",OFFSET('Smelter Look-up'!$C$4,$V121-4,0)&amp;"")</f>
        <v>PT Panca Mega Persada</v>
      </c>
      <c r="S121" s="224" t="str">
        <f t="shared" ca="1" si="3"/>
        <v>ID</v>
      </c>
      <c r="T121" s="224" t="str">
        <f ca="1">IF(B121="","",IF(ISERROR(MATCH($J121,SorP!$B$1:$B$6230,0)),"",INDIRECT("'SorP'!$A$"&amp;MATCH($J121,SorP!$B$1:$B$6230,0))))</f>
        <v>ID-BB</v>
      </c>
      <c r="U121" s="239"/>
      <c r="V121" s="269">
        <f>IF(C121="",NA(),MATCH($B121&amp;$C121,'Smelter Look-up'!$J:$J,0))</f>
        <v>461</v>
      </c>
      <c r="W121" s="270"/>
      <c r="X121" s="270">
        <f t="shared" si="4"/>
        <v>0</v>
      </c>
      <c r="Y121" s="270"/>
      <c r="Z121" s="270"/>
      <c r="AB121" s="272" t="str">
        <f t="shared" si="5"/>
        <v>TinPT Panca Mega Persada</v>
      </c>
    </row>
    <row r="122" spans="1:28" s="271" customFormat="1" ht="23.25" customHeight="1">
      <c r="A122" s="215" t="s">
        <v>887</v>
      </c>
      <c r="B122" s="216" t="s">
        <v>1251</v>
      </c>
      <c r="C122" s="220" t="s">
        <v>886</v>
      </c>
      <c r="D122" s="216"/>
      <c r="E122" s="216" t="s">
        <v>1225</v>
      </c>
      <c r="F122" s="216" t="s">
        <v>887</v>
      </c>
      <c r="G122" s="216" t="s">
        <v>14357</v>
      </c>
      <c r="H122" s="217">
        <v>0</v>
      </c>
      <c r="I122" s="218" t="s">
        <v>2017</v>
      </c>
      <c r="J122" s="218" t="s">
        <v>13917</v>
      </c>
      <c r="K122" s="267"/>
      <c r="L122" s="267"/>
      <c r="M122" s="267"/>
      <c r="N122" s="267"/>
      <c r="O122" s="267"/>
      <c r="P122" s="219"/>
      <c r="Q122" s="268"/>
      <c r="R122" s="216" t="str">
        <f ca="1">IF(ISERROR($V122),"",OFFSET('Smelter Look-up'!$C$4,$V122-4,0)&amp;"")</f>
        <v>PT Prima Timah Utama</v>
      </c>
      <c r="S122" s="224" t="str">
        <f t="shared" ca="1" si="3"/>
        <v>ID</v>
      </c>
      <c r="T122" s="224" t="str">
        <f ca="1">IF(B122="","",IF(ISERROR(MATCH($J122,SorP!$B$1:$B$6230,0)),"",INDIRECT("'SorP'!$A$"&amp;MATCH($J122,SorP!$B$1:$B$6230,0))))</f>
        <v>ID-BB</v>
      </c>
      <c r="U122" s="239"/>
      <c r="V122" s="269">
        <f>IF(C122="",NA(),MATCH($B122&amp;$C122,'Smelter Look-up'!$J:$J,0))</f>
        <v>463</v>
      </c>
      <c r="W122" s="270"/>
      <c r="X122" s="270">
        <f t="shared" si="4"/>
        <v>0</v>
      </c>
      <c r="Y122" s="270"/>
      <c r="Z122" s="270"/>
      <c r="AB122" s="272" t="str">
        <f t="shared" si="5"/>
        <v>TinPT Prima Timah Utama</v>
      </c>
    </row>
    <row r="123" spans="1:28" s="271" customFormat="1" ht="23.25" customHeight="1">
      <c r="A123" s="215" t="s">
        <v>888</v>
      </c>
      <c r="B123" s="216" t="s">
        <v>1251</v>
      </c>
      <c r="C123" s="220" t="s">
        <v>2567</v>
      </c>
      <c r="D123" s="216"/>
      <c r="E123" s="216" t="s">
        <v>1225</v>
      </c>
      <c r="F123" s="216" t="s">
        <v>888</v>
      </c>
      <c r="G123" s="216" t="s">
        <v>14357</v>
      </c>
      <c r="H123" s="217">
        <v>0</v>
      </c>
      <c r="I123" s="218" t="s">
        <v>2015</v>
      </c>
      <c r="J123" s="218" t="s">
        <v>13917</v>
      </c>
      <c r="K123" s="267"/>
      <c r="L123" s="267"/>
      <c r="M123" s="267"/>
      <c r="N123" s="267"/>
      <c r="O123" s="267"/>
      <c r="P123" s="219"/>
      <c r="Q123" s="268"/>
      <c r="R123" s="216" t="str">
        <f ca="1">IF(ISERROR($V123),"",OFFSET('Smelter Look-up'!$C$4,$V123-4,0)&amp;"")</f>
        <v>PT Refined Bangka Tin</v>
      </c>
      <c r="S123" s="224" t="str">
        <f t="shared" ca="1" si="3"/>
        <v>ID</v>
      </c>
      <c r="T123" s="224" t="str">
        <f ca="1">IF(B123="","",IF(ISERROR(MATCH($J123,SorP!$B$1:$B$6230,0)),"",INDIRECT("'SorP'!$A$"&amp;MATCH($J123,SorP!$B$1:$B$6230,0))))</f>
        <v>ID-BB</v>
      </c>
      <c r="U123" s="239"/>
      <c r="V123" s="269">
        <f>IF(C123="",NA(),MATCH($B123&amp;$C123,'Smelter Look-up'!$J:$J,0))</f>
        <v>466</v>
      </c>
      <c r="W123" s="270"/>
      <c r="X123" s="270">
        <f t="shared" si="4"/>
        <v>0</v>
      </c>
      <c r="Y123" s="270"/>
      <c r="Z123" s="270"/>
      <c r="AB123" s="272" t="str">
        <f t="shared" si="5"/>
        <v>TinPT Refined Bangka Tin</v>
      </c>
    </row>
    <row r="124" spans="1:28" s="271" customFormat="1" ht="23.25" customHeight="1">
      <c r="A124" s="215" t="s">
        <v>889</v>
      </c>
      <c r="B124" s="216" t="s">
        <v>1251</v>
      </c>
      <c r="C124" s="220" t="s">
        <v>718</v>
      </c>
      <c r="D124" s="216"/>
      <c r="E124" s="216" t="s">
        <v>1225</v>
      </c>
      <c r="F124" s="216" t="s">
        <v>889</v>
      </c>
      <c r="G124" s="216" t="s">
        <v>14357</v>
      </c>
      <c r="H124" s="217">
        <v>0</v>
      </c>
      <c r="I124" s="218" t="s">
        <v>2017</v>
      </c>
      <c r="J124" s="218" t="s">
        <v>13917</v>
      </c>
      <c r="K124" s="267"/>
      <c r="L124" s="267"/>
      <c r="M124" s="267"/>
      <c r="N124" s="267"/>
      <c r="O124" s="267"/>
      <c r="P124" s="219"/>
      <c r="Q124" s="268"/>
      <c r="R124" s="216" t="str">
        <f ca="1">IF(ISERROR($V124),"",OFFSET('Smelter Look-up'!$C$4,$V124-4,0)&amp;"")</f>
        <v>PT Sariwiguna Binasentosa</v>
      </c>
      <c r="S124" s="224" t="str">
        <f t="shared" ca="1" si="3"/>
        <v>ID</v>
      </c>
      <c r="T124" s="224" t="str">
        <f ca="1">IF(B124="","",IF(ISERROR(MATCH($J124,SorP!$B$1:$B$6230,0)),"",INDIRECT("'SorP'!$A$"&amp;MATCH($J124,SorP!$B$1:$B$6230,0))))</f>
        <v>ID-BB</v>
      </c>
      <c r="U124" s="239"/>
      <c r="V124" s="269">
        <f>IF(C124="",NA(),MATCH($B124&amp;$C124,'Smelter Look-up'!$J:$J,0))</f>
        <v>467</v>
      </c>
      <c r="W124" s="270"/>
      <c r="X124" s="270">
        <f t="shared" si="4"/>
        <v>0</v>
      </c>
      <c r="Y124" s="270"/>
      <c r="Z124" s="270"/>
      <c r="AB124" s="272" t="str">
        <f t="shared" si="5"/>
        <v>TinPT Sariwiguna Binasentosa</v>
      </c>
    </row>
    <row r="125" spans="1:28" s="271" customFormat="1" ht="23.25" customHeight="1">
      <c r="A125" s="215" t="s">
        <v>890</v>
      </c>
      <c r="B125" s="216" t="s">
        <v>1251</v>
      </c>
      <c r="C125" s="220" t="s">
        <v>1284</v>
      </c>
      <c r="D125" s="216"/>
      <c r="E125" s="216" t="s">
        <v>1225</v>
      </c>
      <c r="F125" s="216" t="s">
        <v>890</v>
      </c>
      <c r="G125" s="216" t="s">
        <v>14357</v>
      </c>
      <c r="H125" s="217">
        <v>0</v>
      </c>
      <c r="I125" s="218" t="s">
        <v>2017</v>
      </c>
      <c r="J125" s="218" t="s">
        <v>13917</v>
      </c>
      <c r="K125" s="267"/>
      <c r="L125" s="267"/>
      <c r="M125" s="267"/>
      <c r="N125" s="267"/>
      <c r="O125" s="267"/>
      <c r="P125" s="219"/>
      <c r="Q125" s="268"/>
      <c r="R125" s="216" t="str">
        <f ca="1">IF(ISERROR($V125),"",OFFSET('Smelter Look-up'!$C$4,$V125-4,0)&amp;"")</f>
        <v>PT Stanindo Inti Perkasa</v>
      </c>
      <c r="S125" s="224" t="str">
        <f t="shared" ca="1" si="3"/>
        <v>ID</v>
      </c>
      <c r="T125" s="224" t="str">
        <f ca="1">IF(B125="","",IF(ISERROR(MATCH($J125,SorP!$B$1:$B$6230,0)),"",INDIRECT("'SorP'!$A$"&amp;MATCH($J125,SorP!$B$1:$B$6230,0))))</f>
        <v>ID-BB</v>
      </c>
      <c r="U125" s="239"/>
      <c r="V125" s="269">
        <f>IF(C125="",NA(),MATCH($B125&amp;$C125,'Smelter Look-up'!$J:$J,0))</f>
        <v>468</v>
      </c>
      <c r="W125" s="270"/>
      <c r="X125" s="270">
        <f t="shared" si="4"/>
        <v>0</v>
      </c>
      <c r="Y125" s="270"/>
      <c r="Z125" s="270"/>
      <c r="AB125" s="272" t="str">
        <f t="shared" si="5"/>
        <v>TinPT Stanindo Inti Perkasa</v>
      </c>
    </row>
    <row r="126" spans="1:28" s="271" customFormat="1" ht="23.25" customHeight="1">
      <c r="A126" s="215" t="s">
        <v>1522</v>
      </c>
      <c r="B126" s="216" t="s">
        <v>1251</v>
      </c>
      <c r="C126" s="220" t="s">
        <v>1521</v>
      </c>
      <c r="D126" s="216"/>
      <c r="E126" s="216" t="s">
        <v>1225</v>
      </c>
      <c r="F126" s="216" t="s">
        <v>1522</v>
      </c>
      <c r="G126" s="216" t="s">
        <v>14357</v>
      </c>
      <c r="H126" s="217">
        <v>0</v>
      </c>
      <c r="I126" s="218" t="s">
        <v>2017</v>
      </c>
      <c r="J126" s="218" t="s">
        <v>13917</v>
      </c>
      <c r="K126" s="267"/>
      <c r="L126" s="267"/>
      <c r="M126" s="267"/>
      <c r="N126" s="267"/>
      <c r="O126" s="267"/>
      <c r="P126" s="219"/>
      <c r="Q126" s="268"/>
      <c r="R126" s="216" t="str">
        <f ca="1">IF(ISERROR($V126),"",OFFSET('Smelter Look-up'!$C$4,$V126-4,0)&amp;"")</f>
        <v>PT Sumber Jaya Indah</v>
      </c>
      <c r="S126" s="224" t="str">
        <f t="shared" ca="1" si="3"/>
        <v>ID</v>
      </c>
      <c r="T126" s="224" t="str">
        <f ca="1">IF(B126="","",IF(ISERROR(MATCH($J126,SorP!$B$1:$B$6230,0)),"",INDIRECT("'SorP'!$A$"&amp;MATCH($J126,SorP!$B$1:$B$6230,0))))</f>
        <v>ID-BB</v>
      </c>
      <c r="U126" s="239"/>
      <c r="V126" s="269">
        <f>IF(C126="",NA(),MATCH($B126&amp;$C126,'Smelter Look-up'!$J:$J,0))</f>
        <v>470</v>
      </c>
      <c r="W126" s="270"/>
      <c r="X126" s="270">
        <f t="shared" si="4"/>
        <v>0</v>
      </c>
      <c r="Y126" s="270"/>
      <c r="Z126" s="270"/>
      <c r="AB126" s="272" t="str">
        <f t="shared" si="5"/>
        <v>TinPT Sumber Jaya Indah</v>
      </c>
    </row>
    <row r="127" spans="1:28" s="271" customFormat="1" ht="23.25" customHeight="1">
      <c r="A127" s="215" t="s">
        <v>914</v>
      </c>
      <c r="B127" s="216" t="s">
        <v>1251</v>
      </c>
      <c r="C127" s="220" t="s">
        <v>15420</v>
      </c>
      <c r="D127" s="216"/>
      <c r="E127" s="216" t="s">
        <v>1225</v>
      </c>
      <c r="F127" s="216" t="s">
        <v>914</v>
      </c>
      <c r="G127" s="216" t="s">
        <v>14357</v>
      </c>
      <c r="H127" s="217">
        <v>0</v>
      </c>
      <c r="I127" s="218" t="s">
        <v>2047</v>
      </c>
      <c r="J127" s="218" t="s">
        <v>6797</v>
      </c>
      <c r="K127" s="267"/>
      <c r="L127" s="267"/>
      <c r="M127" s="267"/>
      <c r="N127" s="267"/>
      <c r="O127" s="267"/>
      <c r="P127" s="219"/>
      <c r="Q127" s="268"/>
      <c r="R127" s="216" t="str">
        <f ca="1">IF(ISERROR($V127),"",OFFSET('Smelter Look-up'!$C$4,$V127-4,0)&amp;"")</f>
        <v>PT Timah Tbk Kundur</v>
      </c>
      <c r="S127" s="224" t="str">
        <f t="shared" ca="1" si="3"/>
        <v>ID</v>
      </c>
      <c r="T127" s="224" t="str">
        <f ca="1">IF(B127="","",IF(ISERROR(MATCH($J127,SorP!$B$1:$B$6230,0)),"",INDIRECT("'SorP'!$A$"&amp;MATCH($J127,SorP!$B$1:$B$6230,0))))</f>
        <v>ID-RI</v>
      </c>
      <c r="U127" s="239"/>
      <c r="V127" s="269">
        <f>IF(C127="",NA(),MATCH($B127&amp;$C127,'Smelter Look-up'!$J:$J,0))</f>
        <v>472</v>
      </c>
      <c r="W127" s="270"/>
      <c r="X127" s="270">
        <f t="shared" si="4"/>
        <v>0</v>
      </c>
      <c r="Y127" s="270"/>
      <c r="Z127" s="270"/>
      <c r="AB127" s="272" t="str">
        <f t="shared" si="5"/>
        <v>TinPT Timah Tbk Kundur</v>
      </c>
    </row>
    <row r="128" spans="1:28" s="271" customFormat="1" ht="23.25" customHeight="1">
      <c r="A128" s="215" t="s">
        <v>891</v>
      </c>
      <c r="B128" s="216" t="s">
        <v>1251</v>
      </c>
      <c r="C128" s="220" t="s">
        <v>15419</v>
      </c>
      <c r="D128" s="216"/>
      <c r="E128" s="216" t="s">
        <v>1225</v>
      </c>
      <c r="F128" s="216" t="s">
        <v>891</v>
      </c>
      <c r="G128" s="216" t="s">
        <v>14357</v>
      </c>
      <c r="H128" s="217">
        <v>0</v>
      </c>
      <c r="I128" s="218" t="s">
        <v>2049</v>
      </c>
      <c r="J128" s="218" t="s">
        <v>13917</v>
      </c>
      <c r="K128" s="267"/>
      <c r="L128" s="267"/>
      <c r="M128" s="267"/>
      <c r="N128" s="267"/>
      <c r="O128" s="267"/>
      <c r="P128" s="219"/>
      <c r="Q128" s="268"/>
      <c r="R128" s="216" t="str">
        <f ca="1">IF(ISERROR($V128),"",OFFSET('Smelter Look-up'!$C$4,$V128-4,0)&amp;"")</f>
        <v>PT Timah Tbk Mentok</v>
      </c>
      <c r="S128" s="224" t="str">
        <f t="shared" ca="1" si="3"/>
        <v>ID</v>
      </c>
      <c r="T128" s="224" t="str">
        <f ca="1">IF(B128="","",IF(ISERROR(MATCH($J128,SorP!$B$1:$B$6230,0)),"",INDIRECT("'SorP'!$A$"&amp;MATCH($J128,SorP!$B$1:$B$6230,0))))</f>
        <v>ID-BB</v>
      </c>
      <c r="U128" s="239"/>
      <c r="V128" s="269">
        <f>IF(C128="",NA(),MATCH($B128&amp;$C128,'Smelter Look-up'!$J:$J,0))</f>
        <v>473</v>
      </c>
      <c r="W128" s="270"/>
      <c r="X128" s="270">
        <f t="shared" si="4"/>
        <v>0</v>
      </c>
      <c r="Y128" s="270"/>
      <c r="Z128" s="270"/>
      <c r="AB128" s="272" t="str">
        <f t="shared" si="5"/>
        <v>TinPT Timah Tbk Mentok</v>
      </c>
    </row>
    <row r="129" spans="1:28" s="271" customFormat="1" ht="23.25" customHeight="1">
      <c r="A129" s="215" t="s">
        <v>892</v>
      </c>
      <c r="B129" s="216" t="s">
        <v>1251</v>
      </c>
      <c r="C129" s="220" t="s">
        <v>600</v>
      </c>
      <c r="D129" s="216"/>
      <c r="E129" s="216" t="s">
        <v>1225</v>
      </c>
      <c r="F129" s="216" t="s">
        <v>892</v>
      </c>
      <c r="G129" s="216" t="s">
        <v>14357</v>
      </c>
      <c r="H129" s="217">
        <v>0</v>
      </c>
      <c r="I129" s="218" t="s">
        <v>2017</v>
      </c>
      <c r="J129" s="218" t="s">
        <v>13917</v>
      </c>
      <c r="K129" s="267"/>
      <c r="L129" s="267"/>
      <c r="M129" s="267"/>
      <c r="N129" s="267"/>
      <c r="O129" s="267"/>
      <c r="P129" s="219"/>
      <c r="Q129" s="268"/>
      <c r="R129" s="216" t="str">
        <f ca="1">IF(ISERROR($V129),"",OFFSET('Smelter Look-up'!$C$4,$V129-4,0)&amp;"")</f>
        <v>PT Tinindo Inter Nusa</v>
      </c>
      <c r="S129" s="224" t="str">
        <f t="shared" ca="1" si="3"/>
        <v>ID</v>
      </c>
      <c r="T129" s="224" t="str">
        <f ca="1">IF(B129="","",IF(ISERROR(MATCH($J129,SorP!$B$1:$B$6230,0)),"",INDIRECT("'SorP'!$A$"&amp;MATCH($J129,SorP!$B$1:$B$6230,0))))</f>
        <v>ID-BB</v>
      </c>
      <c r="U129" s="239"/>
      <c r="V129" s="269">
        <f>IF(C129="",NA(),MATCH($B129&amp;$C129,'Smelter Look-up'!$J:$J,0))</f>
        <v>474</v>
      </c>
      <c r="W129" s="270"/>
      <c r="X129" s="270">
        <f t="shared" si="4"/>
        <v>0</v>
      </c>
      <c r="Y129" s="270"/>
      <c r="Z129" s="270"/>
      <c r="AB129" s="272" t="str">
        <f t="shared" si="5"/>
        <v>TinPT Tinindo Inter Nusa</v>
      </c>
    </row>
    <row r="130" spans="1:28" s="271" customFormat="1" ht="23.25" customHeight="1">
      <c r="A130" s="215" t="s">
        <v>2685</v>
      </c>
      <c r="B130" s="216" t="s">
        <v>1251</v>
      </c>
      <c r="C130" s="220" t="s">
        <v>2684</v>
      </c>
      <c r="D130" s="216"/>
      <c r="E130" s="216" t="s">
        <v>1225</v>
      </c>
      <c r="F130" s="216" t="s">
        <v>2685</v>
      </c>
      <c r="G130" s="216" t="s">
        <v>14357</v>
      </c>
      <c r="H130" s="217">
        <v>0</v>
      </c>
      <c r="I130" s="218" t="s">
        <v>2983</v>
      </c>
      <c r="J130" s="218" t="s">
        <v>13917</v>
      </c>
      <c r="K130" s="267"/>
      <c r="L130" s="267"/>
      <c r="M130" s="267"/>
      <c r="N130" s="267"/>
      <c r="O130" s="267"/>
      <c r="P130" s="219"/>
      <c r="Q130" s="268"/>
      <c r="R130" s="216" t="str">
        <f ca="1">IF(ISERROR($V130),"",OFFSET('Smelter Look-up'!$C$4,$V130-4,0)&amp;"")</f>
        <v>PT Tommy Utama</v>
      </c>
      <c r="S130" s="224" t="str">
        <f t="shared" ca="1" si="3"/>
        <v>ID</v>
      </c>
      <c r="T130" s="224" t="str">
        <f ca="1">IF(B130="","",IF(ISERROR(MATCH($J130,SorP!$B$1:$B$6230,0)),"",INDIRECT("'SorP'!$A$"&amp;MATCH($J130,SorP!$B$1:$B$6230,0))))</f>
        <v>ID-BB</v>
      </c>
      <c r="U130" s="239"/>
      <c r="V130" s="269">
        <f>IF(C130="",NA(),MATCH($B130&amp;$C130,'Smelter Look-up'!$J:$J,0))</f>
        <v>476</v>
      </c>
      <c r="W130" s="270"/>
      <c r="X130" s="270">
        <f t="shared" si="4"/>
        <v>0</v>
      </c>
      <c r="Y130" s="270"/>
      <c r="Z130" s="270"/>
      <c r="AB130" s="272" t="str">
        <f t="shared" si="5"/>
        <v>TinPT Tommy Utama</v>
      </c>
    </row>
    <row r="131" spans="1:28" s="271" customFormat="1" ht="23.25" customHeight="1">
      <c r="A131" s="215" t="s">
        <v>814</v>
      </c>
      <c r="B131" s="216" t="s">
        <v>1250</v>
      </c>
      <c r="C131" s="220" t="s">
        <v>13320</v>
      </c>
      <c r="D131" s="216"/>
      <c r="E131" s="216" t="s">
        <v>1218</v>
      </c>
      <c r="F131" s="216" t="s">
        <v>814</v>
      </c>
      <c r="G131" s="216" t="s">
        <v>14357</v>
      </c>
      <c r="H131" s="217">
        <v>0</v>
      </c>
      <c r="I131" s="218" t="s">
        <v>1882</v>
      </c>
      <c r="J131" s="218" t="s">
        <v>1861</v>
      </c>
      <c r="K131" s="267"/>
      <c r="L131" s="267"/>
      <c r="M131" s="267"/>
      <c r="N131" s="267"/>
      <c r="O131" s="267"/>
      <c r="P131" s="219"/>
      <c r="Q131" s="268"/>
      <c r="R131" s="216" t="str">
        <f ca="1">IF(ISERROR($V131),"",OFFSET('Smelter Look-up'!$C$4,$V131-4,0)&amp;"")</f>
        <v>PX Precinox S.A.</v>
      </c>
      <c r="S131" s="224" t="str">
        <f t="shared" ca="1" si="3"/>
        <v>CH</v>
      </c>
      <c r="T131" s="224" t="str">
        <f ca="1">IF(B131="","",IF(ISERROR(MATCH($J131,SorP!$B$1:$B$6230,0)),"",INDIRECT("'SorP'!$A$"&amp;MATCH($J131,SorP!$B$1:$B$6230,0))))</f>
        <v>CH-NE</v>
      </c>
      <c r="U131" s="239"/>
      <c r="V131" s="269">
        <f>IF(C131="",NA(),MATCH($B131&amp;$C131,'Smelter Look-up'!$J:$J,0))</f>
        <v>186</v>
      </c>
      <c r="W131" s="270"/>
      <c r="X131" s="270">
        <f t="shared" si="4"/>
        <v>0</v>
      </c>
      <c r="Y131" s="270"/>
      <c r="Z131" s="270"/>
      <c r="AB131" s="272" t="str">
        <f t="shared" si="5"/>
        <v>GoldPX Precinox S.A.</v>
      </c>
    </row>
    <row r="132" spans="1:28" s="271" customFormat="1" ht="23.25" customHeight="1">
      <c r="A132" s="215" t="s">
        <v>854</v>
      </c>
      <c r="B132" s="216" t="s">
        <v>1252</v>
      </c>
      <c r="C132" s="220" t="s">
        <v>930</v>
      </c>
      <c r="D132" s="216"/>
      <c r="E132" s="216" t="s">
        <v>3092</v>
      </c>
      <c r="F132" s="216" t="s">
        <v>854</v>
      </c>
      <c r="G132" s="216" t="s">
        <v>14357</v>
      </c>
      <c r="H132" s="217">
        <v>0</v>
      </c>
      <c r="I132" s="218" t="s">
        <v>15456</v>
      </c>
      <c r="J132" s="218" t="s">
        <v>2703</v>
      </c>
      <c r="K132" s="267"/>
      <c r="L132" s="267"/>
      <c r="M132" s="267"/>
      <c r="N132" s="267"/>
      <c r="O132" s="267"/>
      <c r="P132" s="219"/>
      <c r="Q132" s="268"/>
      <c r="R132" s="216" t="str">
        <f ca="1">IF(ISERROR($V132),"",OFFSET('Smelter Look-up'!$C$4,$V132-4,0)&amp;"")</f>
        <v>QuantumClean</v>
      </c>
      <c r="S132" s="224" t="str">
        <f t="shared" ca="1" si="3"/>
        <v>US</v>
      </c>
      <c r="T132" s="224" t="str">
        <f ca="1">IF(B132="","",IF(ISERROR(MATCH($J132,SorP!$B$1:$B$6230,0)),"",INDIRECT("'SorP'!$A$"&amp;MATCH($J132,SorP!$B$1:$B$6230,0))))</f>
        <v>US-TX</v>
      </c>
      <c r="U132" s="239"/>
      <c r="V132" s="269">
        <f>IF(C132="",NA(),MATCH($B132&amp;$C132,'Smelter Look-up'!$J:$J,0))</f>
        <v>329</v>
      </c>
      <c r="W132" s="270"/>
      <c r="X132" s="270">
        <f t="shared" si="4"/>
        <v>0</v>
      </c>
      <c r="Y132" s="270"/>
      <c r="Z132" s="270"/>
      <c r="AB132" s="272" t="str">
        <f t="shared" si="5"/>
        <v>TantalumQuantumClean</v>
      </c>
    </row>
    <row r="133" spans="1:28" s="271" customFormat="1" ht="23.25" customHeight="1">
      <c r="A133" s="215" t="s">
        <v>815</v>
      </c>
      <c r="B133" s="216" t="s">
        <v>1250</v>
      </c>
      <c r="C133" s="220" t="s">
        <v>2568</v>
      </c>
      <c r="D133" s="216"/>
      <c r="E133" s="216" t="s">
        <v>1009</v>
      </c>
      <c r="F133" s="216" t="s">
        <v>815</v>
      </c>
      <c r="G133" s="216" t="s">
        <v>14357</v>
      </c>
      <c r="H133" s="217">
        <v>0</v>
      </c>
      <c r="I133" s="218" t="s">
        <v>1883</v>
      </c>
      <c r="J133" s="218" t="s">
        <v>1884</v>
      </c>
      <c r="K133" s="267"/>
      <c r="L133" s="267"/>
      <c r="M133" s="267"/>
      <c r="N133" s="267"/>
      <c r="O133" s="267"/>
      <c r="P133" s="219"/>
      <c r="Q133" s="268"/>
      <c r="R133" s="216" t="str">
        <f ca="1">IF(ISERROR($V133),"",OFFSET('Smelter Look-up'!$C$4,$V133-4,0)&amp;"")</f>
        <v>Rand Refinery (Pty) Ltd.</v>
      </c>
      <c r="S133" s="224" t="str">
        <f t="shared" ref="S133:S196" ca="1" si="6">IF(B133="","",IF(ISERROR(MATCH($E133,CL,0)),"Unknown",INDIRECT("'C'!$A$"&amp;MATCH($E133,CL,0)+1)))</f>
        <v>ZA</v>
      </c>
      <c r="T133" s="224" t="str">
        <f ca="1">IF(B133="","",IF(ISERROR(MATCH($J133,SorP!$B$1:$B$6230,0)),"",INDIRECT("'SorP'!$A$"&amp;MATCH($J133,SorP!$B$1:$B$6230,0))))</f>
        <v>ZA-GT</v>
      </c>
      <c r="U133" s="239"/>
      <c r="V133" s="269">
        <f>IF(C133="",NA(),MATCH($B133&amp;$C133,'Smelter Look-up'!$J:$J,0))</f>
        <v>189</v>
      </c>
      <c r="W133" s="270"/>
      <c r="X133" s="270">
        <f t="shared" ref="X133:X196" si="7">IF(AND(C133="Smelter not listed",OR(LEN(D133)=0,LEN(E133)=0)),1,0)</f>
        <v>0</v>
      </c>
      <c r="Y133" s="270"/>
      <c r="Z133" s="270"/>
      <c r="AB133" s="272" t="str">
        <f t="shared" ref="AB133:AB196" si="8">B133&amp;C133</f>
        <v>GoldRand Refinery (Pty) Ltd.</v>
      </c>
    </row>
    <row r="134" spans="1:28" s="271" customFormat="1" ht="31.5" customHeight="1">
      <c r="A134" s="215" t="s">
        <v>855</v>
      </c>
      <c r="B134" s="216" t="s">
        <v>1252</v>
      </c>
      <c r="C134" s="220" t="s">
        <v>14005</v>
      </c>
      <c r="D134" s="216"/>
      <c r="E134" s="216" t="s">
        <v>1220</v>
      </c>
      <c r="F134" s="216" t="s">
        <v>855</v>
      </c>
      <c r="G134" s="216" t="s">
        <v>14357</v>
      </c>
      <c r="H134" s="217">
        <v>0</v>
      </c>
      <c r="I134" s="218" t="s">
        <v>1978</v>
      </c>
      <c r="J134" s="218" t="s">
        <v>15237</v>
      </c>
      <c r="K134" s="267"/>
      <c r="L134" s="267"/>
      <c r="M134" s="267"/>
      <c r="N134" s="267"/>
      <c r="O134" s="267"/>
      <c r="P134" s="219"/>
      <c r="Q134" s="268"/>
      <c r="R134" s="216" t="str">
        <f ca="1">IF(ISERROR($V134),"",OFFSET('Smelter Look-up'!$C$4,$V134-4,0)&amp;"")</f>
        <v>RFH Tantalum Smeltery Co., Ltd./Yanling Jincheng Tantalum &amp; Niobium Co., Ltd.</v>
      </c>
      <c r="S134" s="224" t="str">
        <f t="shared" ca="1" si="6"/>
        <v>CN</v>
      </c>
      <c r="T134" s="224" t="str">
        <f ca="1">IF(B134="","",IF(ISERROR(MATCH($J134,SorP!$B$1:$B$6230,0)),"",INDIRECT("'SorP'!$A$"&amp;MATCH($J134,SorP!$B$1:$B$6230,0))))</f>
        <v>CN-HN</v>
      </c>
      <c r="U134" s="239"/>
      <c r="V134" s="269">
        <f>IF(C134="",NA(),MATCH($B134&amp;$C134,'Smelter Look-up'!$J:$J,0))</f>
        <v>334</v>
      </c>
      <c r="W134" s="270"/>
      <c r="X134" s="270">
        <f t="shared" si="7"/>
        <v>0</v>
      </c>
      <c r="Y134" s="270"/>
      <c r="Z134" s="270"/>
      <c r="AB134" s="272" t="str">
        <f t="shared" si="8"/>
        <v>TantalumRFH Tantalum Smeltery Co., Ltd./Yanling Jincheng Tantalum &amp; Niobium Co., Ltd.</v>
      </c>
    </row>
    <row r="135" spans="1:28" s="271" customFormat="1" ht="24.75" customHeight="1">
      <c r="A135" s="215" t="s">
        <v>816</v>
      </c>
      <c r="B135" s="216" t="s">
        <v>1250</v>
      </c>
      <c r="C135" s="220" t="s">
        <v>1029</v>
      </c>
      <c r="D135" s="216"/>
      <c r="E135" s="216" t="s">
        <v>1217</v>
      </c>
      <c r="F135" s="216" t="s">
        <v>816</v>
      </c>
      <c r="G135" s="216" t="s">
        <v>14357</v>
      </c>
      <c r="H135" s="217">
        <v>0</v>
      </c>
      <c r="I135" s="218" t="s">
        <v>1885</v>
      </c>
      <c r="J135" s="218" t="s">
        <v>1841</v>
      </c>
      <c r="K135" s="267"/>
      <c r="L135" s="267"/>
      <c r="M135" s="267"/>
      <c r="N135" s="267"/>
      <c r="O135" s="267"/>
      <c r="P135" s="219"/>
      <c r="Q135" s="268"/>
      <c r="R135" s="216" t="str">
        <f ca="1">IF(ISERROR($V135),"",OFFSET('Smelter Look-up'!$C$4,$V135-4,0)&amp;"")</f>
        <v>Royal Canadian Mint</v>
      </c>
      <c r="S135" s="224" t="str">
        <f t="shared" ca="1" si="6"/>
        <v>CA</v>
      </c>
      <c r="T135" s="224" t="str">
        <f ca="1">IF(B135="","",IF(ISERROR(MATCH($J135,SorP!$B$1:$B$6230,0)),"",INDIRECT("'SorP'!$A$"&amp;MATCH($J135,SorP!$B$1:$B$6230,0))))</f>
        <v>CA-ON</v>
      </c>
      <c r="U135" s="239"/>
      <c r="V135" s="269">
        <f>IF(C135="",NA(),MATCH($B135&amp;$C135,'Smelter Look-up'!$J:$J,0))</f>
        <v>194</v>
      </c>
      <c r="W135" s="270"/>
      <c r="X135" s="270">
        <f t="shared" si="7"/>
        <v>0</v>
      </c>
      <c r="Y135" s="270"/>
      <c r="Z135" s="270"/>
      <c r="AB135" s="272" t="str">
        <f t="shared" si="8"/>
        <v>GoldRoyal Canadian Mint</v>
      </c>
    </row>
    <row r="136" spans="1:28" s="271" customFormat="1" ht="24.75" customHeight="1">
      <c r="A136" s="215" t="s">
        <v>894</v>
      </c>
      <c r="B136" s="216" t="s">
        <v>1251</v>
      </c>
      <c r="C136" s="220" t="s">
        <v>893</v>
      </c>
      <c r="D136" s="216"/>
      <c r="E136" s="216" t="s">
        <v>3091</v>
      </c>
      <c r="F136" s="216" t="s">
        <v>894</v>
      </c>
      <c r="G136" s="216" t="s">
        <v>14357</v>
      </c>
      <c r="H136" s="217">
        <v>0</v>
      </c>
      <c r="I136" s="218" t="s">
        <v>15462</v>
      </c>
      <c r="J136" s="218" t="s">
        <v>1944</v>
      </c>
      <c r="K136" s="267"/>
      <c r="L136" s="267"/>
      <c r="M136" s="267"/>
      <c r="N136" s="267"/>
      <c r="O136" s="267"/>
      <c r="P136" s="219"/>
      <c r="Q136" s="268"/>
      <c r="R136" s="216" t="str">
        <f ca="1">IF(ISERROR($V136),"",OFFSET('Smelter Look-up'!$C$4,$V136-4,0)&amp;"")</f>
        <v>Rui Da Hung</v>
      </c>
      <c r="S136" s="224" t="str">
        <f t="shared" ca="1" si="6"/>
        <v>TW</v>
      </c>
      <c r="T136" s="224" t="str">
        <f ca="1">IF(B136="","",IF(ISERROR(MATCH($J136,SorP!$B$1:$B$6230,0)),"",INDIRECT("'SorP'!$A$"&amp;MATCH($J136,SorP!$B$1:$B$6230,0))))</f>
        <v>TW-TAO</v>
      </c>
      <c r="U136" s="239"/>
      <c r="V136" s="269">
        <f>IF(C136="",NA(),MATCH($B136&amp;$C136,'Smelter Look-up'!$J:$J,0))</f>
        <v>480</v>
      </c>
      <c r="W136" s="270"/>
      <c r="X136" s="270">
        <f t="shared" si="7"/>
        <v>0</v>
      </c>
      <c r="Y136" s="270"/>
      <c r="Z136" s="270"/>
      <c r="AB136" s="272" t="str">
        <f t="shared" si="8"/>
        <v>TinRui Da Hung</v>
      </c>
    </row>
    <row r="137" spans="1:28" s="271" customFormat="1" ht="24.75" customHeight="1">
      <c r="A137" s="215" t="s">
        <v>1552</v>
      </c>
      <c r="B137" s="216" t="s">
        <v>1250</v>
      </c>
      <c r="C137" s="220" t="s">
        <v>1551</v>
      </c>
      <c r="D137" s="216"/>
      <c r="E137" s="216" t="s">
        <v>1231</v>
      </c>
      <c r="F137" s="216" t="s">
        <v>1552</v>
      </c>
      <c r="G137" s="216" t="s">
        <v>14357</v>
      </c>
      <c r="H137" s="217">
        <v>0</v>
      </c>
      <c r="I137" s="218" t="s">
        <v>1808</v>
      </c>
      <c r="J137" s="218" t="s">
        <v>13931</v>
      </c>
      <c r="K137" s="267"/>
      <c r="L137" s="267"/>
      <c r="M137" s="267"/>
      <c r="N137" s="267"/>
      <c r="O137" s="267"/>
      <c r="P137" s="219"/>
      <c r="Q137" s="268"/>
      <c r="R137" s="216" t="str">
        <f ca="1">IF(ISERROR($V137),"",OFFSET('Smelter Look-up'!$C$4,$V137-4,0)&amp;"")</f>
        <v>Samduck Precious Metals</v>
      </c>
      <c r="S137" s="224" t="str">
        <f t="shared" ca="1" si="6"/>
        <v>KR</v>
      </c>
      <c r="T137" s="224" t="str">
        <f ca="1">IF(B137="","",IF(ISERROR(MATCH($J137,SorP!$B$1:$B$6230,0)),"",INDIRECT("'SorP'!$A$"&amp;MATCH($J137,SorP!$B$1:$B$6230,0))))</f>
        <v>KR-28</v>
      </c>
      <c r="U137" s="239"/>
      <c r="V137" s="269">
        <f>IF(C137="",NA(),MATCH($B137&amp;$C137,'Smelter Look-up'!$J:$J,0))</f>
        <v>202</v>
      </c>
      <c r="W137" s="270"/>
      <c r="X137" s="270">
        <f t="shared" si="7"/>
        <v>0</v>
      </c>
      <c r="Y137" s="270"/>
      <c r="Z137" s="270"/>
      <c r="AB137" s="272" t="str">
        <f t="shared" si="8"/>
        <v>GoldSamduck Precious Metals</v>
      </c>
    </row>
    <row r="138" spans="1:28" s="271" customFormat="1" ht="24.75" customHeight="1">
      <c r="A138" s="215" t="s">
        <v>819</v>
      </c>
      <c r="B138" s="216" t="s">
        <v>1250</v>
      </c>
      <c r="C138" s="220" t="s">
        <v>13321</v>
      </c>
      <c r="D138" s="216"/>
      <c r="E138" s="216" t="s">
        <v>1222</v>
      </c>
      <c r="F138" s="216" t="s">
        <v>819</v>
      </c>
      <c r="G138" s="216" t="s">
        <v>14357</v>
      </c>
      <c r="H138" s="217">
        <v>0</v>
      </c>
      <c r="I138" s="218" t="s">
        <v>1891</v>
      </c>
      <c r="J138" s="218" t="s">
        <v>5381</v>
      </c>
      <c r="K138" s="267"/>
      <c r="L138" s="267"/>
      <c r="M138" s="267"/>
      <c r="N138" s="267"/>
      <c r="O138" s="267"/>
      <c r="P138" s="219"/>
      <c r="Q138" s="268"/>
      <c r="R138" s="216" t="str">
        <f ca="1">IF(ISERROR($V138),"",OFFSET('Smelter Look-up'!$C$4,$V138-4,0)&amp;"")</f>
        <v>SEMPSA Joyeria Plateria S.A.</v>
      </c>
      <c r="S138" s="224" t="str">
        <f t="shared" ca="1" si="6"/>
        <v>ES</v>
      </c>
      <c r="T138" s="224" t="str">
        <f ca="1">IF(B138="","",IF(ISERROR(MATCH($J138,SorP!$B$1:$B$6230,0)),"",INDIRECT("'SorP'!$A$"&amp;MATCH($J138,SorP!$B$1:$B$6230,0))))</f>
        <v>ES-MD</v>
      </c>
      <c r="U138" s="239"/>
      <c r="V138" s="269">
        <f>IF(C138="",NA(),MATCH($B138&amp;$C138,'Smelter Look-up'!$J:$J,0))</f>
        <v>206</v>
      </c>
      <c r="W138" s="270"/>
      <c r="X138" s="270">
        <f t="shared" si="7"/>
        <v>0</v>
      </c>
      <c r="Y138" s="270"/>
      <c r="Z138" s="270"/>
      <c r="AB138" s="272" t="str">
        <f t="shared" si="8"/>
        <v>GoldSEMPSA Joyeria Plateria S.A.</v>
      </c>
    </row>
    <row r="139" spans="1:28" s="271" customFormat="1" ht="24.75" customHeight="1">
      <c r="A139" s="215" t="s">
        <v>820</v>
      </c>
      <c r="B139" s="216" t="s">
        <v>1250</v>
      </c>
      <c r="C139" s="220" t="s">
        <v>2570</v>
      </c>
      <c r="D139" s="216"/>
      <c r="E139" s="216" t="s">
        <v>1220</v>
      </c>
      <c r="F139" s="216" t="s">
        <v>820</v>
      </c>
      <c r="G139" s="216" t="s">
        <v>14357</v>
      </c>
      <c r="H139" s="217">
        <v>0</v>
      </c>
      <c r="I139" s="218" t="s">
        <v>1823</v>
      </c>
      <c r="J139" s="218" t="s">
        <v>15234</v>
      </c>
      <c r="K139" s="267"/>
      <c r="L139" s="267"/>
      <c r="M139" s="267"/>
      <c r="N139" s="267"/>
      <c r="O139" s="267"/>
      <c r="P139" s="219"/>
      <c r="Q139" s="268"/>
      <c r="R139" s="216" t="str">
        <f ca="1">IF(ISERROR($V139),"",OFFSET('Smelter Look-up'!$C$4,$V139-4,0)&amp;"")</f>
        <v>Shandong Zhaojin Gold &amp; Silver Refinery Co., Ltd.</v>
      </c>
      <c r="S139" s="224" t="str">
        <f t="shared" ca="1" si="6"/>
        <v>CN</v>
      </c>
      <c r="T139" s="224" t="str">
        <f ca="1">IF(B139="","",IF(ISERROR(MATCH($J139,SorP!$B$1:$B$6230,0)),"",INDIRECT("'SorP'!$A$"&amp;MATCH($J139,SorP!$B$1:$B$6230,0))))</f>
        <v>CN-SD</v>
      </c>
      <c r="U139" s="239"/>
      <c r="V139" s="269">
        <f>IF(C139="",NA(),MATCH($B139&amp;$C139,'Smelter Look-up'!$J:$J,0))</f>
        <v>215</v>
      </c>
      <c r="W139" s="270"/>
      <c r="X139" s="270">
        <f t="shared" si="7"/>
        <v>0</v>
      </c>
      <c r="Y139" s="270"/>
      <c r="Z139" s="270"/>
      <c r="AB139" s="272" t="str">
        <f t="shared" si="8"/>
        <v>GoldShandong Zhaojin Gold &amp; Silver Refinery Co., Ltd.</v>
      </c>
    </row>
    <row r="140" spans="1:28" s="271" customFormat="1" ht="24.75" customHeight="1">
      <c r="A140" s="215" t="s">
        <v>1531</v>
      </c>
      <c r="B140" s="216" t="s">
        <v>1250</v>
      </c>
      <c r="C140" s="220" t="s">
        <v>2571</v>
      </c>
      <c r="D140" s="216"/>
      <c r="E140" s="216" t="s">
        <v>1220</v>
      </c>
      <c r="F140" s="216" t="s">
        <v>1531</v>
      </c>
      <c r="G140" s="216" t="s">
        <v>14357</v>
      </c>
      <c r="H140" s="217">
        <v>0</v>
      </c>
      <c r="I140" s="218" t="s">
        <v>1899</v>
      </c>
      <c r="J140" s="218" t="s">
        <v>15240</v>
      </c>
      <c r="K140" s="267"/>
      <c r="L140" s="267"/>
      <c r="M140" s="267"/>
      <c r="N140" s="267"/>
      <c r="O140" s="267"/>
      <c r="P140" s="219"/>
      <c r="Q140" s="268"/>
      <c r="R140" s="216" t="str">
        <f ca="1">IF(ISERROR($V140),"",OFFSET('Smelter Look-up'!$C$4,$V140-4,0)&amp;"")</f>
        <v>Sichuan Tianze Precious Metals Co., Ltd.</v>
      </c>
      <c r="S140" s="224" t="str">
        <f t="shared" ca="1" si="6"/>
        <v>CN</v>
      </c>
      <c r="T140" s="224" t="str">
        <f ca="1">IF(B140="","",IF(ISERROR(MATCH($J140,SorP!$B$1:$B$6230,0)),"",INDIRECT("'SorP'!$A$"&amp;MATCH($J140,SorP!$B$1:$B$6230,0))))</f>
        <v>CN-SC</v>
      </c>
      <c r="U140" s="239"/>
      <c r="V140" s="269">
        <f>IF(C140="",NA(),MATCH($B140&amp;$C140,'Smelter Look-up'!$J:$J,0))</f>
        <v>219</v>
      </c>
      <c r="W140" s="270"/>
      <c r="X140" s="270">
        <f t="shared" si="7"/>
        <v>0</v>
      </c>
      <c r="Y140" s="270"/>
      <c r="Z140" s="270"/>
      <c r="AB140" s="272" t="str">
        <f t="shared" si="8"/>
        <v>GoldSichuan Tianze Precious Metals Co., Ltd.</v>
      </c>
    </row>
    <row r="141" spans="1:28" s="271" customFormat="1" ht="24.75" customHeight="1">
      <c r="A141" s="215" t="s">
        <v>821</v>
      </c>
      <c r="B141" s="216" t="s">
        <v>1250</v>
      </c>
      <c r="C141" s="220" t="s">
        <v>1030</v>
      </c>
      <c r="D141" s="216"/>
      <c r="E141" s="216" t="s">
        <v>999</v>
      </c>
      <c r="F141" s="216" t="s">
        <v>821</v>
      </c>
      <c r="G141" s="216" t="s">
        <v>14357</v>
      </c>
      <c r="H141" s="217">
        <v>0</v>
      </c>
      <c r="I141" s="218" t="s">
        <v>1900</v>
      </c>
      <c r="J141" s="218" t="s">
        <v>10831</v>
      </c>
      <c r="K141" s="267"/>
      <c r="L141" s="267"/>
      <c r="M141" s="267"/>
      <c r="N141" s="267"/>
      <c r="O141" s="267"/>
      <c r="P141" s="219"/>
      <c r="Q141" s="268"/>
      <c r="R141" s="216" t="str">
        <f ca="1">IF(ISERROR($V141),"",OFFSET('Smelter Look-up'!$C$4,$V141-4,0)&amp;"")</f>
        <v>SOE Shyolkovsky Factory of Secondary Precious Metals</v>
      </c>
      <c r="S141" s="224" t="str">
        <f t="shared" ca="1" si="6"/>
        <v>RU</v>
      </c>
      <c r="T141" s="224" t="str">
        <f ca="1">IF(B141="","",IF(ISERROR(MATCH($J141,SorP!$B$1:$B$6230,0)),"",INDIRECT("'SorP'!$A$"&amp;MATCH($J141,SorP!$B$1:$B$6230,0))))</f>
        <v>RU-MOS</v>
      </c>
      <c r="U141" s="239"/>
      <c r="V141" s="269">
        <f>IF(C141="",NA(),MATCH($B141&amp;$C141,'Smelter Look-up'!$J:$J,0))</f>
        <v>223</v>
      </c>
      <c r="W141" s="270"/>
      <c r="X141" s="270">
        <f t="shared" si="7"/>
        <v>0</v>
      </c>
      <c r="Y141" s="270"/>
      <c r="Z141" s="270"/>
      <c r="AB141" s="272" t="str">
        <f t="shared" si="8"/>
        <v>GoldSOE Shyolkovsky Factory of Secondary Precious Metals</v>
      </c>
    </row>
    <row r="142" spans="1:28" s="271" customFormat="1" ht="24.75" customHeight="1">
      <c r="A142" s="215" t="s">
        <v>895</v>
      </c>
      <c r="B142" s="216" t="s">
        <v>1251</v>
      </c>
      <c r="C142" s="220" t="s">
        <v>2572</v>
      </c>
      <c r="D142" s="216"/>
      <c r="E142" s="216" t="s">
        <v>1216</v>
      </c>
      <c r="F142" s="216" t="s">
        <v>895</v>
      </c>
      <c r="G142" s="216" t="s">
        <v>14357</v>
      </c>
      <c r="H142" s="217">
        <v>0</v>
      </c>
      <c r="I142" s="218" t="s">
        <v>2050</v>
      </c>
      <c r="J142" s="218" t="s">
        <v>1916</v>
      </c>
      <c r="K142" s="267"/>
      <c r="L142" s="267"/>
      <c r="M142" s="267"/>
      <c r="N142" s="267"/>
      <c r="O142" s="267"/>
      <c r="P142" s="219"/>
      <c r="Q142" s="268"/>
      <c r="R142" s="216" t="str">
        <f ca="1">IF(ISERROR($V142),"",OFFSET('Smelter Look-up'!$C$4,$V142-4,0)&amp;"")</f>
        <v>Soft Metais Ltda.</v>
      </c>
      <c r="S142" s="224" t="str">
        <f t="shared" ca="1" si="6"/>
        <v>BR</v>
      </c>
      <c r="T142" s="224" t="str">
        <f ca="1">IF(B142="","",IF(ISERROR(MATCH($J142,SorP!$B$1:$B$6230,0)),"",INDIRECT("'SorP'!$A$"&amp;MATCH($J142,SorP!$B$1:$B$6230,0))))</f>
        <v>BR-SP</v>
      </c>
      <c r="U142" s="239"/>
      <c r="V142" s="269">
        <f>IF(C142="",NA(),MATCH($B142&amp;$C142,'Smelter Look-up'!$J:$J,0))</f>
        <v>483</v>
      </c>
      <c r="W142" s="270"/>
      <c r="X142" s="270">
        <f t="shared" si="7"/>
        <v>0</v>
      </c>
      <c r="Y142" s="270"/>
      <c r="Z142" s="270"/>
      <c r="AB142" s="272" t="str">
        <f t="shared" si="8"/>
        <v>TinSoft Metais Ltda.</v>
      </c>
    </row>
    <row r="143" spans="1:28" s="271" customFormat="1" ht="24.75" customHeight="1">
      <c r="A143" s="215" t="s">
        <v>822</v>
      </c>
      <c r="B143" s="216" t="s">
        <v>1250</v>
      </c>
      <c r="C143" s="220" t="s">
        <v>1031</v>
      </c>
      <c r="D143" s="216"/>
      <c r="E143" s="216" t="s">
        <v>3091</v>
      </c>
      <c r="F143" s="216" t="s">
        <v>822</v>
      </c>
      <c r="G143" s="216" t="s">
        <v>14357</v>
      </c>
      <c r="H143" s="217">
        <v>0</v>
      </c>
      <c r="I143" s="218" t="s">
        <v>1901</v>
      </c>
      <c r="J143" s="218" t="s">
        <v>12383</v>
      </c>
      <c r="K143" s="267"/>
      <c r="L143" s="267"/>
      <c r="M143" s="267"/>
      <c r="N143" s="267"/>
      <c r="O143" s="267"/>
      <c r="P143" s="219"/>
      <c r="Q143" s="268"/>
      <c r="R143" s="216" t="str">
        <f ca="1">IF(ISERROR($V143),"",OFFSET('Smelter Look-up'!$C$4,$V143-4,0)&amp;"")</f>
        <v>Solar Applied Materials Technology Corp.</v>
      </c>
      <c r="S143" s="224" t="str">
        <f t="shared" ca="1" si="6"/>
        <v>TW</v>
      </c>
      <c r="T143" s="224" t="str">
        <f ca="1">IF(B143="","",IF(ISERROR(MATCH($J143,SorP!$B$1:$B$6230,0)),"",INDIRECT("'SorP'!$A$"&amp;MATCH($J143,SorP!$B$1:$B$6230,0))))</f>
        <v>TW-TNN</v>
      </c>
      <c r="U143" s="239"/>
      <c r="V143" s="269">
        <f>IF(C143="",NA(),MATCH($B143&amp;$C143,'Smelter Look-up'!$J:$J,0))</f>
        <v>224</v>
      </c>
      <c r="W143" s="270"/>
      <c r="X143" s="270">
        <f t="shared" si="7"/>
        <v>0</v>
      </c>
      <c r="Y143" s="270"/>
      <c r="Z143" s="270"/>
      <c r="AB143" s="272" t="str">
        <f t="shared" si="8"/>
        <v>GoldSolar Applied Materials Technology Corp.</v>
      </c>
    </row>
    <row r="144" spans="1:28" s="271" customFormat="1" ht="24.75" customHeight="1">
      <c r="A144" s="215" t="s">
        <v>856</v>
      </c>
      <c r="B144" s="216" t="s">
        <v>1252</v>
      </c>
      <c r="C144" s="220" t="s">
        <v>1510</v>
      </c>
      <c r="D144" s="216"/>
      <c r="E144" s="216" t="s">
        <v>999</v>
      </c>
      <c r="F144" s="216" t="s">
        <v>856</v>
      </c>
      <c r="G144" s="216" t="s">
        <v>14357</v>
      </c>
      <c r="H144" s="217">
        <v>0</v>
      </c>
      <c r="I144" s="218" t="s">
        <v>1979</v>
      </c>
      <c r="J144" s="218" t="s">
        <v>10880</v>
      </c>
      <c r="K144" s="267"/>
      <c r="L144" s="267"/>
      <c r="M144" s="267"/>
      <c r="N144" s="267"/>
      <c r="O144" s="267"/>
      <c r="P144" s="219"/>
      <c r="Q144" s="268"/>
      <c r="R144" s="216" t="str">
        <f ca="1">IF(ISERROR($V144),"",OFFSET('Smelter Look-up'!$C$4,$V144-4,0)&amp;"")</f>
        <v>Solikamsk Magnesium Works OAO</v>
      </c>
      <c r="S144" s="224" t="str">
        <f t="shared" ca="1" si="6"/>
        <v>RU</v>
      </c>
      <c r="T144" s="224" t="str">
        <f ca="1">IF(B144="","",IF(ISERROR(MATCH($J144,SorP!$B$1:$B$6230,0)),"",INDIRECT("'SorP'!$A$"&amp;MATCH($J144,SorP!$B$1:$B$6230,0))))</f>
        <v>RU-PER</v>
      </c>
      <c r="U144" s="239"/>
      <c r="V144" s="269">
        <f>IF(C144="",NA(),MATCH($B144&amp;$C144,'Smelter Look-up'!$J:$J,0))</f>
        <v>337</v>
      </c>
      <c r="W144" s="270"/>
      <c r="X144" s="270">
        <f t="shared" si="7"/>
        <v>0</v>
      </c>
      <c r="Y144" s="270"/>
      <c r="Z144" s="270"/>
      <c r="AB144" s="272" t="str">
        <f t="shared" si="8"/>
        <v>TantalumSolikamsk Magnesium Works OAO</v>
      </c>
    </row>
    <row r="145" spans="1:28" s="271" customFormat="1" ht="24.75" customHeight="1">
      <c r="A145" s="215" t="s">
        <v>823</v>
      </c>
      <c r="B145" s="216" t="s">
        <v>1250</v>
      </c>
      <c r="C145" s="220" t="s">
        <v>62</v>
      </c>
      <c r="D145" s="216"/>
      <c r="E145" s="216" t="s">
        <v>1228</v>
      </c>
      <c r="F145" s="216" t="s">
        <v>823</v>
      </c>
      <c r="G145" s="216" t="s">
        <v>14357</v>
      </c>
      <c r="H145" s="217">
        <v>0</v>
      </c>
      <c r="I145" s="218" t="s">
        <v>1902</v>
      </c>
      <c r="J145" s="218" t="s">
        <v>2646</v>
      </c>
      <c r="K145" s="267"/>
      <c r="L145" s="267"/>
      <c r="M145" s="267"/>
      <c r="N145" s="267"/>
      <c r="O145" s="267"/>
      <c r="P145" s="219"/>
      <c r="Q145" s="268"/>
      <c r="R145" s="216" t="str">
        <f ca="1">IF(ISERROR($V145),"",OFFSET('Smelter Look-up'!$C$4,$V145-4,0)&amp;"")</f>
        <v>Sumitomo Metal Mining Co., Ltd.</v>
      </c>
      <c r="S145" s="224" t="str">
        <f t="shared" ca="1" si="6"/>
        <v>JP</v>
      </c>
      <c r="T145" s="224" t="str">
        <f ca="1">IF(B145="","",IF(ISERROR(MATCH($J145,SorP!$B$1:$B$6230,0)),"",INDIRECT("'SorP'!$A$"&amp;MATCH($J145,SorP!$B$1:$B$6230,0))))</f>
        <v>JP-38</v>
      </c>
      <c r="U145" s="239"/>
      <c r="V145" s="269">
        <f>IF(C145="",NA(),MATCH($B145&amp;$C145,'Smelter Look-up'!$J:$J,0))</f>
        <v>231</v>
      </c>
      <c r="W145" s="270"/>
      <c r="X145" s="270">
        <f t="shared" si="7"/>
        <v>0</v>
      </c>
      <c r="Y145" s="270"/>
      <c r="Z145" s="270"/>
      <c r="AB145" s="272" t="str">
        <f t="shared" si="8"/>
        <v>GoldSumitomo Metal Mining Co., Ltd.</v>
      </c>
    </row>
    <row r="146" spans="1:28" s="271" customFormat="1" ht="24.75" customHeight="1">
      <c r="A146" s="215" t="s">
        <v>857</v>
      </c>
      <c r="B146" s="216" t="s">
        <v>1252</v>
      </c>
      <c r="C146" s="220" t="s">
        <v>3107</v>
      </c>
      <c r="D146" s="216"/>
      <c r="E146" s="216" t="s">
        <v>1228</v>
      </c>
      <c r="F146" s="216" t="s">
        <v>857</v>
      </c>
      <c r="G146" s="216" t="s">
        <v>14357</v>
      </c>
      <c r="H146" s="217">
        <v>0</v>
      </c>
      <c r="I146" s="218" t="s">
        <v>1980</v>
      </c>
      <c r="J146" s="218" t="s">
        <v>1788</v>
      </c>
      <c r="K146" s="267"/>
      <c r="L146" s="267"/>
      <c r="M146" s="267"/>
      <c r="N146" s="267"/>
      <c r="O146" s="267"/>
      <c r="P146" s="219"/>
      <c r="Q146" s="268"/>
      <c r="R146" s="216" t="str">
        <f ca="1">IF(ISERROR($V146),"",OFFSET('Smelter Look-up'!$C$4,$V146-4,0)&amp;"")</f>
        <v>Taki Chemical Co., Ltd.</v>
      </c>
      <c r="S146" s="224" t="str">
        <f t="shared" ca="1" si="6"/>
        <v>JP</v>
      </c>
      <c r="T146" s="224" t="str">
        <f ca="1">IF(B146="","",IF(ISERROR(MATCH($J146,SorP!$B$1:$B$6230,0)),"",INDIRECT("'SorP'!$A$"&amp;MATCH($J146,SorP!$B$1:$B$6230,0))))</f>
        <v>JP-28</v>
      </c>
      <c r="U146" s="239"/>
      <c r="V146" s="269">
        <f>IF(C146="",NA(),MATCH($B146&amp;$C146,'Smelter Look-up'!$J:$J,0))</f>
        <v>339</v>
      </c>
      <c r="W146" s="270"/>
      <c r="X146" s="270">
        <f t="shared" si="7"/>
        <v>0</v>
      </c>
      <c r="Y146" s="270"/>
      <c r="Z146" s="270"/>
      <c r="AB146" s="272" t="str">
        <f t="shared" si="8"/>
        <v>TantalumTaki Chemical Co., Ltd.</v>
      </c>
    </row>
    <row r="147" spans="1:28" s="271" customFormat="1" ht="24.75" customHeight="1">
      <c r="A147" s="215" t="s">
        <v>824</v>
      </c>
      <c r="B147" s="216" t="s">
        <v>1250</v>
      </c>
      <c r="C147" s="220" t="s">
        <v>1359</v>
      </c>
      <c r="D147" s="216"/>
      <c r="E147" s="216" t="s">
        <v>1228</v>
      </c>
      <c r="F147" s="216" t="s">
        <v>824</v>
      </c>
      <c r="G147" s="216" t="s">
        <v>14357</v>
      </c>
      <c r="H147" s="217">
        <v>0</v>
      </c>
      <c r="I147" s="218" t="s">
        <v>1904</v>
      </c>
      <c r="J147" s="218" t="s">
        <v>1905</v>
      </c>
      <c r="K147" s="267"/>
      <c r="L147" s="267"/>
      <c r="M147" s="267"/>
      <c r="N147" s="267"/>
      <c r="O147" s="267"/>
      <c r="P147" s="219"/>
      <c r="Q147" s="268"/>
      <c r="R147" s="216" t="str">
        <f ca="1">IF(ISERROR($V147),"",OFFSET('Smelter Look-up'!$C$4,$V147-4,0)&amp;"")</f>
        <v>Tanaka Kikinzoku Kogyo K.K.</v>
      </c>
      <c r="S147" s="224" t="str">
        <f t="shared" ca="1" si="6"/>
        <v>JP</v>
      </c>
      <c r="T147" s="224" t="str">
        <f ca="1">IF(B147="","",IF(ISERROR(MATCH($J147,SorP!$B$1:$B$6230,0)),"",INDIRECT("'SorP'!$A$"&amp;MATCH($J147,SorP!$B$1:$B$6230,0))))</f>
        <v>JP-14</v>
      </c>
      <c r="U147" s="239"/>
      <c r="V147" s="269">
        <f>IF(C147="",NA(),MATCH($B147&amp;$C147,'Smelter Look-up'!$J:$J,0))</f>
        <v>243</v>
      </c>
      <c r="W147" s="270"/>
      <c r="X147" s="270">
        <f t="shared" si="7"/>
        <v>0</v>
      </c>
      <c r="Y147" s="270"/>
      <c r="Z147" s="270"/>
      <c r="AB147" s="272" t="str">
        <f t="shared" si="8"/>
        <v>GoldTanaka Kikinzoku Kogyo K.K.</v>
      </c>
    </row>
    <row r="148" spans="1:28" s="271" customFormat="1" ht="24.75" customHeight="1">
      <c r="A148" s="215" t="s">
        <v>911</v>
      </c>
      <c r="B148" s="216" t="s">
        <v>1253</v>
      </c>
      <c r="C148" s="220" t="s">
        <v>2</v>
      </c>
      <c r="D148" s="216"/>
      <c r="E148" s="216" t="s">
        <v>1008</v>
      </c>
      <c r="F148" s="216" t="s">
        <v>911</v>
      </c>
      <c r="G148" s="216" t="s">
        <v>14357</v>
      </c>
      <c r="H148" s="217">
        <v>0</v>
      </c>
      <c r="I148" s="218" t="s">
        <v>2089</v>
      </c>
      <c r="J148" s="218" t="s">
        <v>13034</v>
      </c>
      <c r="K148" s="267"/>
      <c r="L148" s="267"/>
      <c r="M148" s="267"/>
      <c r="N148" s="267"/>
      <c r="O148" s="267"/>
      <c r="P148" s="219"/>
      <c r="Q148" s="268"/>
      <c r="R148" s="216" t="str">
        <f ca="1">IF(ISERROR($V148),"",OFFSET('Smelter Look-up'!$C$4,$V148-4,0)&amp;"")</f>
        <v>Tejing (Vietnam) Tungsten Co., Ltd.</v>
      </c>
      <c r="S148" s="224" t="str">
        <f t="shared" ca="1" si="6"/>
        <v>VN</v>
      </c>
      <c r="T148" s="224" t="str">
        <f ca="1">IF(B148="","",IF(ISERROR(MATCH($J148,SorP!$B$1:$B$6230,0)),"",INDIRECT("'SorP'!$A$"&amp;MATCH($J148,SorP!$B$1:$B$6230,0))))</f>
        <v>VN-37</v>
      </c>
      <c r="U148" s="239"/>
      <c r="V148" s="269">
        <f>IF(C148="",NA(),MATCH($B148&amp;$C148,'Smelter Look-up'!$J:$J,0))</f>
        <v>573</v>
      </c>
      <c r="W148" s="270"/>
      <c r="X148" s="270">
        <f t="shared" si="7"/>
        <v>0</v>
      </c>
      <c r="Y148" s="270"/>
      <c r="Z148" s="270"/>
      <c r="AB148" s="272" t="str">
        <f t="shared" si="8"/>
        <v>TungstenTejing (Vietnam) Tungsten Co., Ltd.</v>
      </c>
    </row>
    <row r="149" spans="1:28" s="271" customFormat="1" ht="24.75" customHeight="1">
      <c r="A149" s="215" t="s">
        <v>858</v>
      </c>
      <c r="B149" s="216" t="s">
        <v>1252</v>
      </c>
      <c r="C149" s="220" t="s">
        <v>1981</v>
      </c>
      <c r="D149" s="216"/>
      <c r="E149" s="216" t="s">
        <v>3092</v>
      </c>
      <c r="F149" s="216" t="s">
        <v>858</v>
      </c>
      <c r="G149" s="216" t="s">
        <v>14357</v>
      </c>
      <c r="H149" s="217">
        <v>0</v>
      </c>
      <c r="I149" s="218" t="s">
        <v>1982</v>
      </c>
      <c r="J149" s="218" t="s">
        <v>1983</v>
      </c>
      <c r="K149" s="267"/>
      <c r="L149" s="267"/>
      <c r="M149" s="267"/>
      <c r="N149" s="267"/>
      <c r="O149" s="267"/>
      <c r="P149" s="219"/>
      <c r="Q149" s="268"/>
      <c r="R149" s="216" t="str">
        <f ca="1">IF(ISERROR($V149),"",OFFSET('Smelter Look-up'!$C$4,$V149-4,0)&amp;"")</f>
        <v>Telex Metals</v>
      </c>
      <c r="S149" s="224" t="str">
        <f t="shared" ca="1" si="6"/>
        <v>US</v>
      </c>
      <c r="T149" s="224" t="str">
        <f ca="1">IF(B149="","",IF(ISERROR(MATCH($J149,SorP!$B$1:$B$6230,0)),"",INDIRECT("'SorP'!$A$"&amp;MATCH($J149,SorP!$B$1:$B$6230,0))))</f>
        <v>US-PA</v>
      </c>
      <c r="U149" s="239"/>
      <c r="V149" s="269">
        <f>IF(C149="",NA(),MATCH($B149&amp;$C149,'Smelter Look-up'!$J:$J,0))</f>
        <v>341</v>
      </c>
      <c r="W149" s="270"/>
      <c r="X149" s="270">
        <f t="shared" si="7"/>
        <v>0</v>
      </c>
      <c r="Y149" s="270"/>
      <c r="Z149" s="270"/>
      <c r="AB149" s="272" t="str">
        <f t="shared" si="8"/>
        <v>TantalumTelex Metals</v>
      </c>
    </row>
    <row r="150" spans="1:28" s="271" customFormat="1" ht="24.75" customHeight="1">
      <c r="A150" s="215" t="s">
        <v>896</v>
      </c>
      <c r="B150" s="216" t="s">
        <v>1251</v>
      </c>
      <c r="C150" s="220" t="s">
        <v>1148</v>
      </c>
      <c r="D150" s="216"/>
      <c r="E150" s="216" t="s">
        <v>1004</v>
      </c>
      <c r="F150" s="216" t="s">
        <v>896</v>
      </c>
      <c r="G150" s="216" t="s">
        <v>14357</v>
      </c>
      <c r="H150" s="217">
        <v>0</v>
      </c>
      <c r="I150" s="218" t="s">
        <v>2051</v>
      </c>
      <c r="J150" s="218" t="s">
        <v>2052</v>
      </c>
      <c r="K150" s="267"/>
      <c r="L150" s="267"/>
      <c r="M150" s="267"/>
      <c r="N150" s="267"/>
      <c r="O150" s="267"/>
      <c r="P150" s="219"/>
      <c r="Q150" s="268"/>
      <c r="R150" s="216" t="str">
        <f ca="1">IF(ISERROR($V150),"",OFFSET('Smelter Look-up'!$C$4,$V150-4,0)&amp;"")</f>
        <v>Thaisarco</v>
      </c>
      <c r="S150" s="224" t="str">
        <f t="shared" ca="1" si="6"/>
        <v>TH</v>
      </c>
      <c r="T150" s="224" t="str">
        <f ca="1">IF(B150="","",IF(ISERROR(MATCH($J150,SorP!$B$1:$B$6230,0)),"",INDIRECT("'SorP'!$A$"&amp;MATCH($J150,SorP!$B$1:$B$6230,0))))</f>
        <v>TH-83</v>
      </c>
      <c r="U150" s="239"/>
      <c r="V150" s="269">
        <f>IF(C150="",NA(),MATCH($B150&amp;$C150,'Smelter Look-up'!$J:$J,0))</f>
        <v>488</v>
      </c>
      <c r="W150" s="270"/>
      <c r="X150" s="270">
        <f t="shared" si="7"/>
        <v>0</v>
      </c>
      <c r="Y150" s="270"/>
      <c r="Z150" s="270"/>
      <c r="AB150" s="272" t="str">
        <f t="shared" si="8"/>
        <v>TinThaisarco</v>
      </c>
    </row>
    <row r="151" spans="1:28" s="271" customFormat="1" ht="24.75" customHeight="1">
      <c r="A151" s="215" t="s">
        <v>2055</v>
      </c>
      <c r="B151" s="216" t="s">
        <v>1251</v>
      </c>
      <c r="C151" s="220" t="s">
        <v>2054</v>
      </c>
      <c r="D151" s="216"/>
      <c r="E151" s="216" t="s">
        <v>1220</v>
      </c>
      <c r="F151" s="216" t="s">
        <v>2055</v>
      </c>
      <c r="G151" s="216" t="s">
        <v>14357</v>
      </c>
      <c r="H151" s="217">
        <v>0</v>
      </c>
      <c r="I151" s="218" t="s">
        <v>3109</v>
      </c>
      <c r="J151" s="218" t="s">
        <v>15242</v>
      </c>
      <c r="K151" s="267"/>
      <c r="L151" s="267"/>
      <c r="M151" s="267"/>
      <c r="N151" s="267"/>
      <c r="O151" s="267"/>
      <c r="P151" s="219"/>
      <c r="Q151" s="268"/>
      <c r="R151" s="216" t="str">
        <f ca="1">IF(ISERROR($V151),"",OFFSET('Smelter Look-up'!$C$4,$V151-4,0)&amp;"")</f>
        <v>Gejiu Yunxin Nonferrous Electrolysis Co., Ltd.</v>
      </c>
      <c r="S151" s="224" t="str">
        <f t="shared" ca="1" si="6"/>
        <v>CN</v>
      </c>
      <c r="T151" s="224" t="str">
        <f ca="1">IF(B151="","",IF(ISERROR(MATCH($J151,SorP!$B$1:$B$6230,0)),"",INDIRECT("'SorP'!$A$"&amp;MATCH($J151,SorP!$B$1:$B$6230,0))))</f>
        <v>CN-YN</v>
      </c>
      <c r="U151" s="239"/>
      <c r="V151" s="269">
        <f>IF(C151="",NA(),MATCH($B151&amp;$C151,'Smelter Look-up'!$J:$J,0))</f>
        <v>394</v>
      </c>
      <c r="W151" s="270"/>
      <c r="X151" s="270">
        <f t="shared" si="7"/>
        <v>0</v>
      </c>
      <c r="Y151" s="270"/>
      <c r="Z151" s="270"/>
      <c r="AB151" s="272" t="str">
        <f t="shared" si="8"/>
        <v>TinGejiu Yunxin Nonferrous Electrolysis Co., Ltd.</v>
      </c>
    </row>
    <row r="152" spans="1:28" s="271" customFormat="1" ht="24.75" customHeight="1">
      <c r="A152" s="215" t="s">
        <v>826</v>
      </c>
      <c r="B152" s="216" t="s">
        <v>1250</v>
      </c>
      <c r="C152" s="220" t="s">
        <v>2573</v>
      </c>
      <c r="D152" s="216"/>
      <c r="E152" s="216" t="s">
        <v>1220</v>
      </c>
      <c r="F152" s="216" t="s">
        <v>826</v>
      </c>
      <c r="G152" s="216" t="s">
        <v>14357</v>
      </c>
      <c r="H152" s="217">
        <v>0</v>
      </c>
      <c r="I152" s="218" t="s">
        <v>1895</v>
      </c>
      <c r="J152" s="218" t="s">
        <v>15234</v>
      </c>
      <c r="K152" s="267"/>
      <c r="L152" s="267"/>
      <c r="M152" s="267"/>
      <c r="N152" s="267"/>
      <c r="O152" s="267"/>
      <c r="P152" s="219"/>
      <c r="Q152" s="268"/>
      <c r="R152" s="216" t="str">
        <f ca="1">IF(ISERROR($V152),"",OFFSET('Smelter Look-up'!$C$4,$V152-4,0)&amp;"")</f>
        <v>The Refinery of Shandong Gold Mining Co., Ltd.</v>
      </c>
      <c r="S152" s="224" t="str">
        <f t="shared" ca="1" si="6"/>
        <v>CN</v>
      </c>
      <c r="T152" s="224" t="str">
        <f ca="1">IF(B152="","",IF(ISERROR(MATCH($J152,SorP!$B$1:$B$6230,0)),"",INDIRECT("'SorP'!$A$"&amp;MATCH($J152,SorP!$B$1:$B$6230,0))))</f>
        <v>CN-SD</v>
      </c>
      <c r="U152" s="239"/>
      <c r="V152" s="269">
        <f>IF(C152="",NA(),MATCH($B152&amp;$C152,'Smelter Look-up'!$J:$J,0))</f>
        <v>247</v>
      </c>
      <c r="W152" s="270"/>
      <c r="X152" s="270">
        <f t="shared" si="7"/>
        <v>0</v>
      </c>
      <c r="Y152" s="270"/>
      <c r="Z152" s="270"/>
      <c r="AB152" s="272" t="str">
        <f t="shared" si="8"/>
        <v>GoldThe Refinery of Shandong Gold Mining Co., Ltd.</v>
      </c>
    </row>
    <row r="153" spans="1:28" s="271" customFormat="1" ht="24.75" customHeight="1">
      <c r="A153" s="215" t="s">
        <v>827</v>
      </c>
      <c r="B153" s="216" t="s">
        <v>1250</v>
      </c>
      <c r="C153" s="220" t="s">
        <v>2574</v>
      </c>
      <c r="D153" s="216"/>
      <c r="E153" s="216" t="s">
        <v>1228</v>
      </c>
      <c r="F153" s="216" t="s">
        <v>827</v>
      </c>
      <c r="G153" s="216" t="s">
        <v>14357</v>
      </c>
      <c r="H153" s="217">
        <v>0</v>
      </c>
      <c r="I153" s="218" t="s">
        <v>1910</v>
      </c>
      <c r="J153" s="218" t="s">
        <v>1818</v>
      </c>
      <c r="K153" s="267"/>
      <c r="L153" s="267"/>
      <c r="M153" s="267"/>
      <c r="N153" s="267"/>
      <c r="O153" s="267"/>
      <c r="P153" s="219"/>
      <c r="Q153" s="268"/>
      <c r="R153" s="216" t="str">
        <f ca="1">IF(ISERROR($V153),"",OFFSET('Smelter Look-up'!$C$4,$V153-4,0)&amp;"")</f>
        <v>Tokuriki Honten Co., Ltd.</v>
      </c>
      <c r="S153" s="224" t="str">
        <f t="shared" ca="1" si="6"/>
        <v>JP</v>
      </c>
      <c r="T153" s="224" t="str">
        <f ca="1">IF(B153="","",IF(ISERROR(MATCH($J153,SorP!$B$1:$B$6230,0)),"",INDIRECT("'SorP'!$A$"&amp;MATCH($J153,SorP!$B$1:$B$6230,0))))</f>
        <v>JP-11</v>
      </c>
      <c r="U153" s="239"/>
      <c r="V153" s="269">
        <f>IF(C153="",NA(),MATCH($B153&amp;$C153,'Smelter Look-up'!$J:$J,0))</f>
        <v>248</v>
      </c>
      <c r="W153" s="270"/>
      <c r="X153" s="270">
        <f t="shared" si="7"/>
        <v>0</v>
      </c>
      <c r="Y153" s="270"/>
      <c r="Z153" s="270"/>
      <c r="AB153" s="272" t="str">
        <f t="shared" si="8"/>
        <v>GoldTokuriki Honten Co., Ltd.</v>
      </c>
    </row>
    <row r="154" spans="1:28" s="271" customFormat="1" ht="24.75" customHeight="1">
      <c r="A154" s="215" t="s">
        <v>829</v>
      </c>
      <c r="B154" s="216" t="s">
        <v>1250</v>
      </c>
      <c r="C154" s="220" t="s">
        <v>695</v>
      </c>
      <c r="D154" s="216"/>
      <c r="E154" s="216" t="s">
        <v>1231</v>
      </c>
      <c r="F154" s="216" t="s">
        <v>829</v>
      </c>
      <c r="G154" s="216" t="s">
        <v>14357</v>
      </c>
      <c r="H154" s="217">
        <v>0</v>
      </c>
      <c r="I154" s="218" t="s">
        <v>1914</v>
      </c>
      <c r="J154" s="218" t="s">
        <v>13934</v>
      </c>
      <c r="K154" s="267"/>
      <c r="L154" s="267"/>
      <c r="M154" s="267"/>
      <c r="N154" s="267"/>
      <c r="O154" s="267"/>
      <c r="P154" s="219"/>
      <c r="Q154" s="268"/>
      <c r="R154" s="216" t="str">
        <f ca="1">IF(ISERROR($V154),"",OFFSET('Smelter Look-up'!$C$4,$V154-4,0)&amp;"")</f>
        <v>Torecom</v>
      </c>
      <c r="S154" s="224" t="str">
        <f t="shared" ca="1" si="6"/>
        <v>KR</v>
      </c>
      <c r="T154" s="224" t="str">
        <f ca="1">IF(B154="","",IF(ISERROR(MATCH($J154,SorP!$B$1:$B$6230,0)),"",INDIRECT("'SorP'!$A$"&amp;MATCH($J154,SorP!$B$1:$B$6230,0))))</f>
        <v>KR-44</v>
      </c>
      <c r="U154" s="239"/>
      <c r="V154" s="269">
        <f>IF(C154="",NA(),MATCH($B154&amp;$C154,'Smelter Look-up'!$J:$J,0))</f>
        <v>253</v>
      </c>
      <c r="W154" s="270"/>
      <c r="X154" s="270">
        <f t="shared" si="7"/>
        <v>0</v>
      </c>
      <c r="Y154" s="270"/>
      <c r="Z154" s="270"/>
      <c r="AB154" s="272" t="str">
        <f t="shared" si="8"/>
        <v>GoldTorecom</v>
      </c>
    </row>
    <row r="155" spans="1:28" s="271" customFormat="1" ht="24.75" customHeight="1">
      <c r="A155" s="215" t="s">
        <v>859</v>
      </c>
      <c r="B155" s="216" t="s">
        <v>1252</v>
      </c>
      <c r="C155" s="220" t="s">
        <v>1984</v>
      </c>
      <c r="D155" s="216"/>
      <c r="E155" s="216" t="s">
        <v>1229</v>
      </c>
      <c r="F155" s="216" t="s">
        <v>859</v>
      </c>
      <c r="G155" s="216" t="s">
        <v>14357</v>
      </c>
      <c r="H155" s="217">
        <v>0</v>
      </c>
      <c r="I155" s="218" t="s">
        <v>1844</v>
      </c>
      <c r="J155" s="218" t="s">
        <v>7826</v>
      </c>
      <c r="K155" s="267"/>
      <c r="L155" s="267"/>
      <c r="M155" s="267"/>
      <c r="N155" s="267"/>
      <c r="O155" s="267"/>
      <c r="P155" s="219"/>
      <c r="Q155" s="268"/>
      <c r="R155" s="216" t="str">
        <f ca="1">IF(ISERROR($V155),"",OFFSET('Smelter Look-up'!$C$4,$V155-4,0)&amp;"")</f>
        <v>Ulba Metallurgical Plant JSC</v>
      </c>
      <c r="S155" s="224" t="str">
        <f t="shared" ca="1" si="6"/>
        <v>KZ</v>
      </c>
      <c r="T155" s="224" t="str">
        <f ca="1">IF(B155="","",IF(ISERROR(MATCH($J155,SorP!$B$1:$B$6230,0)),"",INDIRECT("'SorP'!$A$"&amp;MATCH($J155,SorP!$B$1:$B$6230,0))))</f>
        <v>KZ-KAR</v>
      </c>
      <c r="U155" s="239"/>
      <c r="V155" s="269">
        <f>IF(C155="",NA(),MATCH($B155&amp;$C155,'Smelter Look-up'!$J:$J,0))</f>
        <v>343</v>
      </c>
      <c r="W155" s="270"/>
      <c r="X155" s="270">
        <f t="shared" si="7"/>
        <v>0</v>
      </c>
      <c r="Y155" s="270"/>
      <c r="Z155" s="270"/>
      <c r="AB155" s="272" t="str">
        <f t="shared" si="8"/>
        <v>TantalumUlba Metallurgical Plant JSC</v>
      </c>
    </row>
    <row r="156" spans="1:28" s="271" customFormat="1" ht="24.75" customHeight="1">
      <c r="A156" s="215" t="s">
        <v>830</v>
      </c>
      <c r="B156" s="216" t="s">
        <v>1250</v>
      </c>
      <c r="C156" s="220" t="s">
        <v>2575</v>
      </c>
      <c r="D156" s="216"/>
      <c r="E156" s="216" t="s">
        <v>1216</v>
      </c>
      <c r="F156" s="216" t="s">
        <v>830</v>
      </c>
      <c r="G156" s="216" t="s">
        <v>14357</v>
      </c>
      <c r="H156" s="217">
        <v>0</v>
      </c>
      <c r="I156" s="218" t="s">
        <v>1915</v>
      </c>
      <c r="J156" s="218" t="s">
        <v>1916</v>
      </c>
      <c r="K156" s="267"/>
      <c r="L156" s="267"/>
      <c r="M156" s="267"/>
      <c r="N156" s="267"/>
      <c r="O156" s="267"/>
      <c r="P156" s="219"/>
      <c r="Q156" s="268"/>
      <c r="R156" s="216" t="str">
        <f ca="1">IF(ISERROR($V156),"",OFFSET('Smelter Look-up'!$C$4,$V156-4,0)&amp;"")</f>
        <v>Umicore Brasil Ltda.</v>
      </c>
      <c r="S156" s="224" t="str">
        <f t="shared" ca="1" si="6"/>
        <v>BR</v>
      </c>
      <c r="T156" s="224" t="str">
        <f ca="1">IF(B156="","",IF(ISERROR(MATCH($J156,SorP!$B$1:$B$6230,0)),"",INDIRECT("'SorP'!$A$"&amp;MATCH($J156,SorP!$B$1:$B$6230,0))))</f>
        <v>BR-SP</v>
      </c>
      <c r="U156" s="239"/>
      <c r="V156" s="269">
        <f>IF(C156="",NA(),MATCH($B156&amp;$C156,'Smelter Look-up'!$J:$J,0))</f>
        <v>255</v>
      </c>
      <c r="W156" s="270"/>
      <c r="X156" s="270">
        <f t="shared" si="7"/>
        <v>0</v>
      </c>
      <c r="Y156" s="270"/>
      <c r="Z156" s="270"/>
      <c r="AB156" s="272" t="str">
        <f t="shared" si="8"/>
        <v>GoldUmicore Brasil Ltda.</v>
      </c>
    </row>
    <row r="157" spans="1:28" s="271" customFormat="1" ht="24.75" customHeight="1">
      <c r="A157" s="215" t="s">
        <v>831</v>
      </c>
      <c r="B157" s="216" t="s">
        <v>1250</v>
      </c>
      <c r="C157" s="220" t="s">
        <v>2956</v>
      </c>
      <c r="D157" s="216"/>
      <c r="E157" s="216" t="s">
        <v>1215</v>
      </c>
      <c r="F157" s="216" t="s">
        <v>831</v>
      </c>
      <c r="G157" s="216" t="s">
        <v>14357</v>
      </c>
      <c r="H157" s="217">
        <v>0</v>
      </c>
      <c r="I157" s="218" t="s">
        <v>1917</v>
      </c>
      <c r="J157" s="218" t="s">
        <v>3852</v>
      </c>
      <c r="K157" s="267"/>
      <c r="L157" s="267"/>
      <c r="M157" s="267"/>
      <c r="N157" s="267"/>
      <c r="O157" s="267"/>
      <c r="P157" s="219"/>
      <c r="Q157" s="268"/>
      <c r="R157" s="216" t="str">
        <f ca="1">IF(ISERROR($V157),"",OFFSET('Smelter Look-up'!$C$4,$V157-4,0)&amp;"")</f>
        <v>Umicore S.A. Business Unit Precious Metals Refining</v>
      </c>
      <c r="S157" s="224" t="str">
        <f t="shared" ca="1" si="6"/>
        <v>BE</v>
      </c>
      <c r="T157" s="224" t="str">
        <f ca="1">IF(B157="","",IF(ISERROR(MATCH($J157,SorP!$B$1:$B$6230,0)),"",INDIRECT("'SorP'!$A$"&amp;MATCH($J157,SorP!$B$1:$B$6230,0))))</f>
        <v>BE-VAN</v>
      </c>
      <c r="U157" s="239"/>
      <c r="V157" s="269">
        <f>IF(C157="",NA(),MATCH($B157&amp;$C157,'Smelter Look-up'!$J:$J,0))</f>
        <v>258</v>
      </c>
      <c r="W157" s="270"/>
      <c r="X157" s="270">
        <f t="shared" si="7"/>
        <v>0</v>
      </c>
      <c r="Y157" s="270"/>
      <c r="Z157" s="270"/>
      <c r="AB157" s="272" t="str">
        <f t="shared" si="8"/>
        <v>GoldUmicore S.A. Business Unit Precious Metals Refining</v>
      </c>
    </row>
    <row r="158" spans="1:28" s="271" customFormat="1" ht="24.75" customHeight="1">
      <c r="A158" s="215" t="s">
        <v>832</v>
      </c>
      <c r="B158" s="216" t="s">
        <v>1250</v>
      </c>
      <c r="C158" s="220" t="s">
        <v>933</v>
      </c>
      <c r="D158" s="216"/>
      <c r="E158" s="216" t="s">
        <v>3092</v>
      </c>
      <c r="F158" s="216" t="s">
        <v>832</v>
      </c>
      <c r="G158" s="216" t="s">
        <v>14357</v>
      </c>
      <c r="H158" s="217">
        <v>0</v>
      </c>
      <c r="I158" s="218" t="s">
        <v>1919</v>
      </c>
      <c r="J158" s="218" t="s">
        <v>1855</v>
      </c>
      <c r="K158" s="267"/>
      <c r="L158" s="267"/>
      <c r="M158" s="267"/>
      <c r="N158" s="267"/>
      <c r="O158" s="267"/>
      <c r="P158" s="219"/>
      <c r="Q158" s="268"/>
      <c r="R158" s="216" t="str">
        <f ca="1">IF(ISERROR($V158),"",OFFSET('Smelter Look-up'!$C$4,$V158-4,0)&amp;"")</f>
        <v>United Precious Metal Refining, Inc.</v>
      </c>
      <c r="S158" s="224" t="str">
        <f t="shared" ca="1" si="6"/>
        <v>US</v>
      </c>
      <c r="T158" s="224" t="str">
        <f ca="1">IF(B158="","",IF(ISERROR(MATCH($J158,SorP!$B$1:$B$6230,0)),"",INDIRECT("'SorP'!$A$"&amp;MATCH($J158,SorP!$B$1:$B$6230,0))))</f>
        <v>US-NY</v>
      </c>
      <c r="U158" s="239"/>
      <c r="V158" s="269">
        <f>IF(C158="",NA(),MATCH($B158&amp;$C158,'Smelter Look-up'!$J:$J,0))</f>
        <v>259</v>
      </c>
      <c r="W158" s="270"/>
      <c r="X158" s="270">
        <f t="shared" si="7"/>
        <v>0</v>
      </c>
      <c r="Y158" s="270"/>
      <c r="Z158" s="270"/>
      <c r="AB158" s="272" t="str">
        <f t="shared" si="8"/>
        <v>GoldUnited Precious Metal Refining, Inc.</v>
      </c>
    </row>
    <row r="159" spans="1:28" s="271" customFormat="1" ht="24.75" customHeight="1">
      <c r="A159" s="215" t="s">
        <v>833</v>
      </c>
      <c r="B159" s="216" t="s">
        <v>1250</v>
      </c>
      <c r="C159" s="220" t="s">
        <v>2960</v>
      </c>
      <c r="D159" s="216"/>
      <c r="E159" s="216" t="s">
        <v>1218</v>
      </c>
      <c r="F159" s="216" t="s">
        <v>833</v>
      </c>
      <c r="G159" s="216" t="s">
        <v>14357</v>
      </c>
      <c r="H159" s="217">
        <v>0</v>
      </c>
      <c r="I159" s="218" t="s">
        <v>1920</v>
      </c>
      <c r="J159" s="218" t="s">
        <v>1786</v>
      </c>
      <c r="K159" s="267"/>
      <c r="L159" s="267"/>
      <c r="M159" s="267"/>
      <c r="N159" s="267"/>
      <c r="O159" s="267"/>
      <c r="P159" s="219"/>
      <c r="Q159" s="268"/>
      <c r="R159" s="216" t="str">
        <f ca="1">IF(ISERROR($V159),"",OFFSET('Smelter Look-up'!$C$4,$V159-4,0)&amp;"")</f>
        <v>Valcambi S.A.</v>
      </c>
      <c r="S159" s="224" t="str">
        <f t="shared" ca="1" si="6"/>
        <v>CH</v>
      </c>
      <c r="T159" s="224" t="str">
        <f ca="1">IF(B159="","",IF(ISERROR(MATCH($J159,SorP!$B$1:$B$6230,0)),"",INDIRECT("'SorP'!$A$"&amp;MATCH($J159,SorP!$B$1:$B$6230,0))))</f>
        <v>CH-TI</v>
      </c>
      <c r="U159" s="239"/>
      <c r="V159" s="269">
        <f>IF(C159="",NA(),MATCH($B159&amp;$C159,'Smelter Look-up'!$J:$J,0))</f>
        <v>261</v>
      </c>
      <c r="W159" s="270"/>
      <c r="X159" s="270">
        <f t="shared" si="7"/>
        <v>0</v>
      </c>
      <c r="Y159" s="270"/>
      <c r="Z159" s="270"/>
      <c r="AB159" s="272" t="str">
        <f t="shared" si="8"/>
        <v>GoldValcambi S.A.</v>
      </c>
    </row>
    <row r="160" spans="1:28" s="271" customFormat="1" ht="24.75" customHeight="1">
      <c r="A160" s="215" t="s">
        <v>834</v>
      </c>
      <c r="B160" s="216" t="s">
        <v>1250</v>
      </c>
      <c r="C160" s="220" t="s">
        <v>3180</v>
      </c>
      <c r="D160" s="216"/>
      <c r="E160" s="216" t="s">
        <v>1213</v>
      </c>
      <c r="F160" s="216" t="s">
        <v>834</v>
      </c>
      <c r="G160" s="216" t="s">
        <v>14357</v>
      </c>
      <c r="H160" s="217">
        <v>0</v>
      </c>
      <c r="I160" s="218" t="s">
        <v>1921</v>
      </c>
      <c r="J160" s="218" t="s">
        <v>1922</v>
      </c>
      <c r="K160" s="267"/>
      <c r="L160" s="267"/>
      <c r="M160" s="267"/>
      <c r="N160" s="267"/>
      <c r="O160" s="267"/>
      <c r="P160" s="219"/>
      <c r="Q160" s="268"/>
      <c r="R160" s="216" t="str">
        <f ca="1">IF(ISERROR($V160),"",OFFSET('Smelter Look-up'!$C$4,$V160-4,0)&amp;"")</f>
        <v>Western Australian Mint (T/a The Perth Mint)</v>
      </c>
      <c r="S160" s="224" t="str">
        <f t="shared" ca="1" si="6"/>
        <v>AU</v>
      </c>
      <c r="T160" s="224" t="str">
        <f ca="1">IF(B160="","",IF(ISERROR(MATCH($J160,SorP!$B$1:$B$6230,0)),"",INDIRECT("'SorP'!$A$"&amp;MATCH($J160,SorP!$B$1:$B$6230,0))))</f>
        <v>AU-WA</v>
      </c>
      <c r="U160" s="239"/>
      <c r="V160" s="269">
        <f>IF(C160="",NA(),MATCH($B160&amp;$C160,'Smelter Look-up'!$J:$J,0))</f>
        <v>262</v>
      </c>
      <c r="W160" s="270"/>
      <c r="X160" s="270">
        <f t="shared" si="7"/>
        <v>0</v>
      </c>
      <c r="Y160" s="270"/>
      <c r="Z160" s="270"/>
      <c r="AB160" s="272" t="str">
        <f t="shared" si="8"/>
        <v>GoldWestern Australian Mint (T/a The Perth Mint)</v>
      </c>
    </row>
    <row r="161" spans="1:28" s="271" customFormat="1" ht="24.75" customHeight="1">
      <c r="A161" s="215" t="s">
        <v>897</v>
      </c>
      <c r="B161" s="216" t="s">
        <v>1251</v>
      </c>
      <c r="C161" s="220" t="s">
        <v>3227</v>
      </c>
      <c r="D161" s="216"/>
      <c r="E161" s="216" t="s">
        <v>1216</v>
      </c>
      <c r="F161" s="216" t="s">
        <v>897</v>
      </c>
      <c r="G161" s="216" t="s">
        <v>14357</v>
      </c>
      <c r="H161" s="217">
        <v>0</v>
      </c>
      <c r="I161" s="218" t="s">
        <v>2014</v>
      </c>
      <c r="J161" s="218" t="s">
        <v>2020</v>
      </c>
      <c r="K161" s="267"/>
      <c r="L161" s="267"/>
      <c r="M161" s="267"/>
      <c r="N161" s="267"/>
      <c r="O161" s="267"/>
      <c r="P161" s="219"/>
      <c r="Q161" s="268"/>
      <c r="R161" s="216" t="str">
        <f ca="1">IF(ISERROR($V161),"",OFFSET('Smelter Look-up'!$C$4,$V161-4,0)&amp;"")</f>
        <v>White Solder Metalurgia e Mineracao Ltda.</v>
      </c>
      <c r="S161" s="224" t="str">
        <f t="shared" ca="1" si="6"/>
        <v>BR</v>
      </c>
      <c r="T161" s="224" t="str">
        <f ca="1">IF(B161="","",IF(ISERROR(MATCH($J161,SorP!$B$1:$B$6230,0)),"",INDIRECT("'SorP'!$A$"&amp;MATCH($J161,SorP!$B$1:$B$6230,0))))</f>
        <v>BR-RO</v>
      </c>
      <c r="U161" s="239"/>
      <c r="V161" s="269">
        <f>IF(C161="",NA(),MATCH($B161&amp;$C161,'Smelter Look-up'!$J:$J,0))</f>
        <v>495</v>
      </c>
      <c r="W161" s="270"/>
      <c r="X161" s="270">
        <f t="shared" si="7"/>
        <v>0</v>
      </c>
      <c r="Y161" s="270"/>
      <c r="Z161" s="270"/>
      <c r="AB161" s="272" t="str">
        <f t="shared" si="8"/>
        <v>TinWhite Solder Metalurgia e Mineracao Ltda.</v>
      </c>
    </row>
    <row r="162" spans="1:28" s="271" customFormat="1" ht="24.75" customHeight="1">
      <c r="A162" s="215" t="s">
        <v>912</v>
      </c>
      <c r="B162" s="216" t="s">
        <v>1253</v>
      </c>
      <c r="C162" s="220" t="s">
        <v>3236</v>
      </c>
      <c r="D162" s="216"/>
      <c r="E162" s="216" t="s">
        <v>1214</v>
      </c>
      <c r="F162" s="216" t="s">
        <v>912</v>
      </c>
      <c r="G162" s="216" t="s">
        <v>14357</v>
      </c>
      <c r="H162" s="217"/>
      <c r="I162" s="218" t="s">
        <v>2090</v>
      </c>
      <c r="J162" s="218" t="s">
        <v>3509</v>
      </c>
      <c r="K162" s="267"/>
      <c r="L162" s="267"/>
      <c r="M162" s="267"/>
      <c r="N162" s="267"/>
      <c r="O162" s="267"/>
      <c r="P162" s="219"/>
      <c r="Q162" s="268"/>
      <c r="R162" s="216" t="str">
        <f ca="1">IF(ISERROR($V162),"",OFFSET('Smelter Look-up'!$C$4,$V162-4,0)&amp;"")</f>
        <v>Wolfram Bergbau und Hutten AG</v>
      </c>
      <c r="S162" s="224" t="str">
        <f t="shared" ca="1" si="6"/>
        <v>AT</v>
      </c>
      <c r="T162" s="224" t="str">
        <f ca="1">IF(B162="","",IF(ISERROR(MATCH($J162,SorP!$B$1:$B$6230,0)),"",INDIRECT("'SorP'!$A$"&amp;MATCH($J162,SorP!$B$1:$B$6230,0))))</f>
        <v>AT-6</v>
      </c>
      <c r="U162" s="239"/>
      <c r="V162" s="269">
        <f>IF(C162="",NA(),MATCH($B162&amp;$C162,'Smelter Look-up'!$J:$J,0))</f>
        <v>577</v>
      </c>
      <c r="W162" s="270"/>
      <c r="X162" s="270">
        <f t="shared" si="7"/>
        <v>0</v>
      </c>
      <c r="Y162" s="270"/>
      <c r="Z162" s="270"/>
      <c r="AB162" s="272" t="str">
        <f t="shared" si="8"/>
        <v>TungstenWolfram Bergbau und Hutten AG</v>
      </c>
    </row>
    <row r="163" spans="1:28" s="271" customFormat="1" ht="24.75" customHeight="1">
      <c r="A163" s="215" t="s">
        <v>913</v>
      </c>
      <c r="B163" s="216" t="s">
        <v>1253</v>
      </c>
      <c r="C163" s="220" t="s">
        <v>1515</v>
      </c>
      <c r="D163" s="216"/>
      <c r="E163" s="216" t="s">
        <v>1220</v>
      </c>
      <c r="F163" s="216" t="s">
        <v>913</v>
      </c>
      <c r="G163" s="216" t="s">
        <v>14357</v>
      </c>
      <c r="H163" s="217">
        <v>0</v>
      </c>
      <c r="I163" s="218" t="s">
        <v>2093</v>
      </c>
      <c r="J163" s="218" t="s">
        <v>15232</v>
      </c>
      <c r="K163" s="267"/>
      <c r="L163" s="267"/>
      <c r="M163" s="267"/>
      <c r="N163" s="267"/>
      <c r="O163" s="267"/>
      <c r="P163" s="219"/>
      <c r="Q163" s="268"/>
      <c r="R163" s="216" t="str">
        <f ca="1">IF(ISERROR($V163),"",OFFSET('Smelter Look-up'!$C$4,$V163-4,0)&amp;"")</f>
        <v>Xiamen Tungsten Co., Ltd.</v>
      </c>
      <c r="S163" s="224" t="str">
        <f t="shared" ca="1" si="6"/>
        <v>CN</v>
      </c>
      <c r="T163" s="224" t="str">
        <f ca="1">IF(B163="","",IF(ISERROR(MATCH($J163,SorP!$B$1:$B$6230,0)),"",INDIRECT("'SorP'!$A$"&amp;MATCH($J163,SorP!$B$1:$B$6230,0))))</f>
        <v>CN-FJ</v>
      </c>
      <c r="U163" s="239"/>
      <c r="V163" s="269">
        <f>IF(C163="",NA(),MATCH($B163&amp;$C163,'Smelter Look-up'!$J:$J,0))</f>
        <v>582</v>
      </c>
      <c r="W163" s="270"/>
      <c r="X163" s="270">
        <f t="shared" si="7"/>
        <v>0</v>
      </c>
      <c r="Y163" s="270"/>
      <c r="Z163" s="270"/>
      <c r="AB163" s="272" t="str">
        <f t="shared" si="8"/>
        <v>TungstenXiamen Tungsten Co., Ltd.</v>
      </c>
    </row>
    <row r="164" spans="1:28" s="271" customFormat="1" ht="24.75" customHeight="1">
      <c r="A164" s="215" t="s">
        <v>915</v>
      </c>
      <c r="B164" s="216" t="s">
        <v>1253</v>
      </c>
      <c r="C164" s="220" t="s">
        <v>929</v>
      </c>
      <c r="D164" s="216"/>
      <c r="E164" s="216" t="s">
        <v>1220</v>
      </c>
      <c r="F164" s="216" t="s">
        <v>915</v>
      </c>
      <c r="G164" s="216" t="s">
        <v>14357</v>
      </c>
      <c r="H164" s="217">
        <v>0</v>
      </c>
      <c r="I164" s="218" t="s">
        <v>2094</v>
      </c>
      <c r="J164" s="218" t="s">
        <v>15238</v>
      </c>
      <c r="K164" s="267"/>
      <c r="L164" s="267"/>
      <c r="M164" s="267"/>
      <c r="N164" s="267"/>
      <c r="O164" s="267"/>
      <c r="P164" s="219"/>
      <c r="Q164" s="268"/>
      <c r="R164" s="216" t="str">
        <f ca="1">IF(ISERROR($V164),"",OFFSET('Smelter Look-up'!$C$4,$V164-4,0)&amp;"")</f>
        <v>Xinhai Rendan Shaoguan Tungsten Co., Ltd.</v>
      </c>
      <c r="S164" s="224" t="str">
        <f t="shared" ca="1" si="6"/>
        <v>CN</v>
      </c>
      <c r="T164" s="224" t="str">
        <f ca="1">IF(B164="","",IF(ISERROR(MATCH($J164,SorP!$B$1:$B$6230,0)),"",INDIRECT("'SorP'!$A$"&amp;MATCH($J164,SorP!$B$1:$B$6230,0))))</f>
        <v>CN-GD</v>
      </c>
      <c r="U164" s="239"/>
      <c r="V164" s="269">
        <f>IF(C164="",NA(),MATCH($B164&amp;$C164,'Smelter Look-up'!$J:$J,0))</f>
        <v>584</v>
      </c>
      <c r="W164" s="270"/>
      <c r="X164" s="270">
        <f t="shared" si="7"/>
        <v>0</v>
      </c>
      <c r="Y164" s="270"/>
      <c r="Z164" s="270"/>
      <c r="AB164" s="272" t="str">
        <f t="shared" si="8"/>
        <v>TungstenXinhai Rendan Shaoguan Tungsten Co., Ltd.</v>
      </c>
    </row>
    <row r="165" spans="1:28" s="271" customFormat="1" ht="24.75" customHeight="1">
      <c r="A165" s="215" t="s">
        <v>835</v>
      </c>
      <c r="B165" s="216" t="s">
        <v>1250</v>
      </c>
      <c r="C165" s="220" t="s">
        <v>13999</v>
      </c>
      <c r="D165" s="216"/>
      <c r="E165" s="216" t="s">
        <v>1228</v>
      </c>
      <c r="F165" s="216" t="s">
        <v>835</v>
      </c>
      <c r="G165" s="216" t="s">
        <v>14357</v>
      </c>
      <c r="H165" s="217">
        <v>0</v>
      </c>
      <c r="I165" s="218" t="s">
        <v>14020</v>
      </c>
      <c r="J165" s="218" t="s">
        <v>7395</v>
      </c>
      <c r="K165" s="267"/>
      <c r="L165" s="267"/>
      <c r="M165" s="267"/>
      <c r="N165" s="267"/>
      <c r="O165" s="267"/>
      <c r="P165" s="219"/>
      <c r="Q165" s="268"/>
      <c r="R165" s="216" t="str">
        <f ca="1">IF(ISERROR($V165),"",OFFSET('Smelter Look-up'!$C$4,$V165-4,0)&amp;"")</f>
        <v>Yamakin Co., Ltd.</v>
      </c>
      <c r="S165" s="224" t="str">
        <f t="shared" ca="1" si="6"/>
        <v>JP</v>
      </c>
      <c r="T165" s="224" t="str">
        <f ca="1">IF(B165="","",IF(ISERROR(MATCH($J165,SorP!$B$1:$B$6230,0)),"",INDIRECT("'SorP'!$A$"&amp;MATCH($J165,SorP!$B$1:$B$6230,0))))</f>
        <v>JP-39</v>
      </c>
      <c r="U165" s="239"/>
      <c r="V165" s="269">
        <f>IF(C165="",NA(),MATCH($B165&amp;$C165,'Smelter Look-up'!$J:$J,0))</f>
        <v>266</v>
      </c>
      <c r="W165" s="270"/>
      <c r="X165" s="270">
        <f t="shared" si="7"/>
        <v>0</v>
      </c>
      <c r="Y165" s="270"/>
      <c r="Z165" s="270"/>
      <c r="AB165" s="272" t="str">
        <f t="shared" si="8"/>
        <v>GoldYamakin Co., Ltd.</v>
      </c>
    </row>
    <row r="166" spans="1:28" s="271" customFormat="1" ht="24.75" customHeight="1">
      <c r="A166" s="215" t="s">
        <v>836</v>
      </c>
      <c r="B166" s="216" t="s">
        <v>1250</v>
      </c>
      <c r="C166" s="220" t="s">
        <v>2577</v>
      </c>
      <c r="D166" s="216"/>
      <c r="E166" s="216" t="s">
        <v>1228</v>
      </c>
      <c r="F166" s="216" t="s">
        <v>836</v>
      </c>
      <c r="G166" s="216" t="s">
        <v>14357</v>
      </c>
      <c r="H166" s="217">
        <v>0</v>
      </c>
      <c r="I166" s="218" t="s">
        <v>1927</v>
      </c>
      <c r="J166" s="218" t="s">
        <v>1905</v>
      </c>
      <c r="K166" s="267"/>
      <c r="L166" s="267"/>
      <c r="M166" s="267"/>
      <c r="N166" s="267"/>
      <c r="O166" s="267"/>
      <c r="P166" s="219"/>
      <c r="Q166" s="268"/>
      <c r="R166" s="216" t="str">
        <f ca="1">IF(ISERROR($V166),"",OFFSET('Smelter Look-up'!$C$4,$V166-4,0)&amp;"")</f>
        <v>Yokohama Metal Co., Ltd.</v>
      </c>
      <c r="S166" s="224" t="str">
        <f t="shared" ca="1" si="6"/>
        <v>JP</v>
      </c>
      <c r="T166" s="224" t="str">
        <f ca="1">IF(B166="","",IF(ISERROR(MATCH($J166,SorP!$B$1:$B$6230,0)),"",INDIRECT("'SorP'!$A$"&amp;MATCH($J166,SorP!$B$1:$B$6230,0))))</f>
        <v>JP-14</v>
      </c>
      <c r="U166" s="239"/>
      <c r="V166" s="269">
        <f>IF(C166="",NA(),MATCH($B166&amp;$C166,'Smelter Look-up'!$J:$J,0))</f>
        <v>271</v>
      </c>
      <c r="W166" s="270"/>
      <c r="X166" s="270">
        <f t="shared" si="7"/>
        <v>0</v>
      </c>
      <c r="Y166" s="270"/>
      <c r="Z166" s="270"/>
      <c r="AB166" s="272" t="str">
        <f t="shared" si="8"/>
        <v>GoldYokohama Metal Co., Ltd.</v>
      </c>
    </row>
    <row r="167" spans="1:28" s="271" customFormat="1" ht="24.75" customHeight="1">
      <c r="A167" s="215" t="s">
        <v>898</v>
      </c>
      <c r="B167" s="216" t="s">
        <v>1251</v>
      </c>
      <c r="C167" s="220" t="s">
        <v>2578</v>
      </c>
      <c r="D167" s="216"/>
      <c r="E167" s="216" t="s">
        <v>1220</v>
      </c>
      <c r="F167" s="216" t="s">
        <v>898</v>
      </c>
      <c r="G167" s="216" t="s">
        <v>14357</v>
      </c>
      <c r="H167" s="217">
        <v>0</v>
      </c>
      <c r="I167" s="218" t="s">
        <v>3109</v>
      </c>
      <c r="J167" s="218" t="s">
        <v>15242</v>
      </c>
      <c r="K167" s="267"/>
      <c r="L167" s="267"/>
      <c r="M167" s="267"/>
      <c r="N167" s="267"/>
      <c r="O167" s="267"/>
      <c r="P167" s="219"/>
      <c r="Q167" s="268"/>
      <c r="R167" s="216" t="str">
        <f ca="1">IF(ISERROR($V167),"",OFFSET('Smelter Look-up'!$C$4,$V167-4,0)&amp;"")</f>
        <v>Yunnan Chengfeng Non-ferrous Metals Co., Ltd.</v>
      </c>
      <c r="S167" s="224" t="str">
        <f t="shared" ca="1" si="6"/>
        <v>CN</v>
      </c>
      <c r="T167" s="224" t="str">
        <f ca="1">IF(B167="","",IF(ISERROR(MATCH($J167,SorP!$B$1:$B$6230,0)),"",INDIRECT("'SorP'!$A$"&amp;MATCH($J167,SorP!$B$1:$B$6230,0))))</f>
        <v>CN-YN</v>
      </c>
      <c r="U167" s="239"/>
      <c r="V167" s="269">
        <f>IF(C167="",NA(),MATCH($B167&amp;$C167,'Smelter Look-up'!$J:$J,0))</f>
        <v>503</v>
      </c>
      <c r="W167" s="270"/>
      <c r="X167" s="270">
        <f t="shared" si="7"/>
        <v>0</v>
      </c>
      <c r="Y167" s="270"/>
      <c r="Z167" s="270"/>
      <c r="AB167" s="272" t="str">
        <f t="shared" si="8"/>
        <v>TinYunnan Chengfeng Non-ferrous Metals Co., Ltd.</v>
      </c>
    </row>
    <row r="168" spans="1:28" s="271" customFormat="1" ht="24.75" customHeight="1">
      <c r="A168" s="215" t="s">
        <v>899</v>
      </c>
      <c r="B168" s="216" t="s">
        <v>1251</v>
      </c>
      <c r="C168" s="220" t="s">
        <v>2972</v>
      </c>
      <c r="D168" s="216"/>
      <c r="E168" s="216" t="s">
        <v>1220</v>
      </c>
      <c r="F168" s="216" t="s">
        <v>899</v>
      </c>
      <c r="G168" s="216" t="s">
        <v>15497</v>
      </c>
      <c r="H168" s="217"/>
      <c r="I168" s="218" t="s">
        <v>3109</v>
      </c>
      <c r="J168" s="218" t="s">
        <v>15507</v>
      </c>
      <c r="K168" s="267"/>
      <c r="L168" s="267"/>
      <c r="M168" s="267"/>
      <c r="N168" s="267"/>
      <c r="O168" s="267"/>
      <c r="P168" s="219"/>
      <c r="Q168" s="268"/>
      <c r="R168" s="216" t="str">
        <f ca="1">IF(ISERROR($V168),"",OFFSET('Smelter Look-up'!$C$4,$V168-4,0)&amp;"")</f>
        <v>Yunnan Tin Company Limited</v>
      </c>
      <c r="S168" s="224" t="str">
        <f t="shared" ca="1" si="6"/>
        <v>CN</v>
      </c>
      <c r="T168" s="224" t="str">
        <f ca="1">IF(B168="","",IF(ISERROR(MATCH($J168,SorP!$B$1:$B$6230,0)),"",INDIRECT("'SorP'!$A$"&amp;MATCH($J168,SorP!$B$1:$B$6230,0))))</f>
        <v/>
      </c>
      <c r="U168" s="239"/>
      <c r="V168" s="269">
        <f>IF(C168="",NA(),MATCH($B168&amp;$C168,'Smelter Look-up'!$J:$J,0))</f>
        <v>507</v>
      </c>
      <c r="W168" s="270"/>
      <c r="X168" s="270">
        <f t="shared" si="7"/>
        <v>0</v>
      </c>
      <c r="Y168" s="270"/>
      <c r="Z168" s="270"/>
      <c r="AB168" s="272" t="str">
        <f t="shared" si="8"/>
        <v>TinYunnan Tin Company Limited</v>
      </c>
    </row>
    <row r="169" spans="1:28" s="271" customFormat="1" ht="24.75" customHeight="1">
      <c r="A169" s="215" t="s">
        <v>838</v>
      </c>
      <c r="B169" s="216" t="s">
        <v>1250</v>
      </c>
      <c r="C169" s="220" t="s">
        <v>1455</v>
      </c>
      <c r="D169" s="216"/>
      <c r="E169" s="216" t="s">
        <v>1220</v>
      </c>
      <c r="F169" s="216" t="s">
        <v>838</v>
      </c>
      <c r="G169" s="216" t="s">
        <v>14357</v>
      </c>
      <c r="H169" s="217">
        <v>0</v>
      </c>
      <c r="I169" s="218" t="s">
        <v>1928</v>
      </c>
      <c r="J169" s="218" t="s">
        <v>15235</v>
      </c>
      <c r="K169" s="267"/>
      <c r="L169" s="267"/>
      <c r="M169" s="267"/>
      <c r="N169" s="267"/>
      <c r="O169" s="267"/>
      <c r="P169" s="219"/>
      <c r="Q169" s="268"/>
      <c r="R169" s="216" t="str">
        <f ca="1">IF(ISERROR($V169),"",OFFSET('Smelter Look-up'!$C$4,$V169-4,0)&amp;"")</f>
        <v>Zhongyuan Gold Smelter of Zhongjin Gold Corporation</v>
      </c>
      <c r="S169" s="224" t="str">
        <f t="shared" ca="1" si="6"/>
        <v>CN</v>
      </c>
      <c r="T169" s="224" t="str">
        <f ca="1">IF(B169="","",IF(ISERROR(MATCH($J169,SorP!$B$1:$B$6230,0)),"",INDIRECT("'SorP'!$A$"&amp;MATCH($J169,SorP!$B$1:$B$6230,0))))</f>
        <v>CN-HA</v>
      </c>
      <c r="U169" s="239"/>
      <c r="V169" s="269">
        <f>IF(C169="",NA(),MATCH($B169&amp;$C169,'Smelter Look-up'!$J:$J,0))</f>
        <v>281</v>
      </c>
      <c r="W169" s="270"/>
      <c r="X169" s="270">
        <f t="shared" si="7"/>
        <v>0</v>
      </c>
      <c r="Y169" s="270"/>
      <c r="Z169" s="270"/>
      <c r="AB169" s="272" t="str">
        <f t="shared" si="8"/>
        <v>GoldZhongyuan Gold Smelter of Zhongjin Gold Corporation</v>
      </c>
    </row>
    <row r="170" spans="1:28" s="271" customFormat="1" ht="24.75" customHeight="1">
      <c r="A170" s="215" t="s">
        <v>839</v>
      </c>
      <c r="B170" s="216" t="s">
        <v>1250</v>
      </c>
      <c r="C170" s="220" t="s">
        <v>3188</v>
      </c>
      <c r="D170" s="216"/>
      <c r="E170" s="216" t="s">
        <v>1220</v>
      </c>
      <c r="F170" s="216" t="s">
        <v>839</v>
      </c>
      <c r="G170" s="216" t="s">
        <v>14357</v>
      </c>
      <c r="H170" s="217">
        <v>0</v>
      </c>
      <c r="I170" s="218" t="s">
        <v>1931</v>
      </c>
      <c r="J170" s="218" t="s">
        <v>15232</v>
      </c>
      <c r="K170" s="267"/>
      <c r="L170" s="267"/>
      <c r="M170" s="267"/>
      <c r="N170" s="267"/>
      <c r="O170" s="267"/>
      <c r="P170" s="219"/>
      <c r="Q170" s="268"/>
      <c r="R170" s="216" t="str">
        <f ca="1">IF(ISERROR($V170),"",OFFSET('Smelter Look-up'!$C$4,$V170-4,0)&amp;"")</f>
        <v>Gold Refinery of Zijin Mining Group Co., Ltd.</v>
      </c>
      <c r="S170" s="224" t="str">
        <f t="shared" ca="1" si="6"/>
        <v>CN</v>
      </c>
      <c r="T170" s="224" t="str">
        <f ca="1">IF(B170="","",IF(ISERROR(MATCH($J170,SorP!$B$1:$B$6230,0)),"",INDIRECT("'SorP'!$A$"&amp;MATCH($J170,SorP!$B$1:$B$6230,0))))</f>
        <v>CN-FJ</v>
      </c>
      <c r="U170" s="239"/>
      <c r="V170" s="269">
        <f>IF(C170="",NA(),MATCH($B170&amp;$C170,'Smelter Look-up'!$J:$J,0))</f>
        <v>77</v>
      </c>
      <c r="W170" s="270"/>
      <c r="X170" s="270">
        <f t="shared" si="7"/>
        <v>0</v>
      </c>
      <c r="Y170" s="270"/>
      <c r="Z170" s="270"/>
      <c r="AB170" s="272" t="str">
        <f t="shared" si="8"/>
        <v>GoldGold Refinery of Zijin Mining Group Co., Ltd.</v>
      </c>
    </row>
    <row r="171" spans="1:28" s="271" customFormat="1" ht="24.75" customHeight="1">
      <c r="A171" s="215" t="s">
        <v>157</v>
      </c>
      <c r="B171" s="216" t="s">
        <v>1250</v>
      </c>
      <c r="C171" s="220" t="s">
        <v>156</v>
      </c>
      <c r="D171" s="216"/>
      <c r="E171" s="216" t="s">
        <v>1004</v>
      </c>
      <c r="F171" s="216" t="s">
        <v>157</v>
      </c>
      <c r="G171" s="216" t="s">
        <v>14357</v>
      </c>
      <c r="H171" s="217">
        <v>0</v>
      </c>
      <c r="I171" s="218" t="s">
        <v>13293</v>
      </c>
      <c r="J171" s="218" t="s">
        <v>11927</v>
      </c>
      <c r="K171" s="267"/>
      <c r="L171" s="267"/>
      <c r="M171" s="267"/>
      <c r="N171" s="267"/>
      <c r="O171" s="267"/>
      <c r="P171" s="219"/>
      <c r="Q171" s="268"/>
      <c r="R171" s="216" t="str">
        <f ca="1">IF(ISERROR($V171),"",OFFSET('Smelter Look-up'!$C$4,$V171-4,0)&amp;"")</f>
        <v>Umicore Precious Metals Thailand</v>
      </c>
      <c r="S171" s="224" t="str">
        <f t="shared" ca="1" si="6"/>
        <v>TH</v>
      </c>
      <c r="T171" s="224" t="str">
        <f ca="1">IF(B171="","",IF(ISERROR(MATCH($J171,SorP!$B$1:$B$6230,0)),"",INDIRECT("'SorP'!$A$"&amp;MATCH($J171,SorP!$B$1:$B$6230,0))))</f>
        <v>TH-10</v>
      </c>
      <c r="U171" s="239"/>
      <c r="V171" s="269">
        <f>IF(C171="",NA(),MATCH($B171&amp;$C171,'Smelter Look-up'!$J:$J,0))</f>
        <v>257</v>
      </c>
      <c r="W171" s="270"/>
      <c r="X171" s="270">
        <f t="shared" si="7"/>
        <v>0</v>
      </c>
      <c r="Y171" s="270"/>
      <c r="Z171" s="270"/>
      <c r="AB171" s="272" t="str">
        <f t="shared" si="8"/>
        <v>GoldUmicore Precious Metals Thailand</v>
      </c>
    </row>
    <row r="172" spans="1:28" s="271" customFormat="1" ht="24.75" customHeight="1">
      <c r="A172" s="215" t="s">
        <v>150</v>
      </c>
      <c r="B172" s="216" t="s">
        <v>1253</v>
      </c>
      <c r="C172" s="220" t="s">
        <v>161</v>
      </c>
      <c r="D172" s="216"/>
      <c r="E172" s="216" t="s">
        <v>1220</v>
      </c>
      <c r="F172" s="216" t="s">
        <v>150</v>
      </c>
      <c r="G172" s="216" t="s">
        <v>14357</v>
      </c>
      <c r="H172" s="217">
        <v>0</v>
      </c>
      <c r="I172" s="218" t="s">
        <v>2024</v>
      </c>
      <c r="J172" s="218" t="s">
        <v>15233</v>
      </c>
      <c r="K172" s="267"/>
      <c r="L172" s="267"/>
      <c r="M172" s="267"/>
      <c r="N172" s="267"/>
      <c r="O172" s="267"/>
      <c r="P172" s="219"/>
      <c r="Q172" s="268"/>
      <c r="R172" s="216" t="str">
        <f ca="1">IF(ISERROR($V172),"",OFFSET('Smelter Look-up'!$C$4,$V172-4,0)&amp;"")</f>
        <v>Ganzhou Jiangwu Ferrotungsten Co., Ltd.</v>
      </c>
      <c r="S172" s="224" t="str">
        <f t="shared" ca="1" si="6"/>
        <v>CN</v>
      </c>
      <c r="T172" s="224" t="str">
        <f ca="1">IF(B172="","",IF(ISERROR(MATCH($J172,SorP!$B$1:$B$6230,0)),"",INDIRECT("'SorP'!$A$"&amp;MATCH($J172,SorP!$B$1:$B$6230,0))))</f>
        <v>CN-JX</v>
      </c>
      <c r="U172" s="239"/>
      <c r="V172" s="269">
        <f>IF(C172="",NA(),MATCH($B172&amp;$C172,'Smelter Look-up'!$J:$J,0))</f>
        <v>535</v>
      </c>
      <c r="W172" s="270"/>
      <c r="X172" s="270">
        <f t="shared" si="7"/>
        <v>0</v>
      </c>
      <c r="Y172" s="270"/>
      <c r="Z172" s="270"/>
      <c r="AB172" s="272" t="str">
        <f t="shared" si="8"/>
        <v>TungstenGanzhou Jiangwu Ferrotungsten Co., Ltd.</v>
      </c>
    </row>
    <row r="173" spans="1:28" s="271" customFormat="1" ht="24.75" customHeight="1">
      <c r="A173" s="215" t="s">
        <v>151</v>
      </c>
      <c r="B173" s="216" t="s">
        <v>1253</v>
      </c>
      <c r="C173" s="220" t="s">
        <v>162</v>
      </c>
      <c r="D173" s="216"/>
      <c r="E173" s="216" t="s">
        <v>1220</v>
      </c>
      <c r="F173" s="216" t="s">
        <v>151</v>
      </c>
      <c r="G173" s="216" t="s">
        <v>14357</v>
      </c>
      <c r="H173" s="217">
        <v>0</v>
      </c>
      <c r="I173" s="218" t="s">
        <v>2024</v>
      </c>
      <c r="J173" s="218" t="s">
        <v>15233</v>
      </c>
      <c r="K173" s="267"/>
      <c r="L173" s="267"/>
      <c r="M173" s="267"/>
      <c r="N173" s="267"/>
      <c r="O173" s="267"/>
      <c r="P173" s="219"/>
      <c r="Q173" s="268"/>
      <c r="R173" s="216" t="str">
        <f ca="1">IF(ISERROR($V173),"",OFFSET('Smelter Look-up'!$C$4,$V173-4,0)&amp;"")</f>
        <v>Jiangxi Yaosheng Tungsten Co., Ltd.</v>
      </c>
      <c r="S173" s="224" t="str">
        <f t="shared" ca="1" si="6"/>
        <v>CN</v>
      </c>
      <c r="T173" s="224" t="str">
        <f ca="1">IF(B173="","",IF(ISERROR(MATCH($J173,SorP!$B$1:$B$6230,0)),"",INDIRECT("'SorP'!$A$"&amp;MATCH($J173,SorP!$B$1:$B$6230,0))))</f>
        <v>CN-JX</v>
      </c>
      <c r="U173" s="239"/>
      <c r="V173" s="269">
        <f>IF(C173="",NA(),MATCH($B173&amp;$C173,'Smelter Look-up'!$J:$J,0))</f>
        <v>559</v>
      </c>
      <c r="W173" s="270"/>
      <c r="X173" s="270">
        <f t="shared" si="7"/>
        <v>0</v>
      </c>
      <c r="Y173" s="270"/>
      <c r="Z173" s="270"/>
      <c r="AB173" s="272" t="str">
        <f t="shared" si="8"/>
        <v>TungstenJiangxi Yaosheng Tungsten Co., Ltd.</v>
      </c>
    </row>
    <row r="174" spans="1:28" s="271" customFormat="1" ht="24.75" customHeight="1">
      <c r="A174" s="215" t="s">
        <v>152</v>
      </c>
      <c r="B174" s="216" t="s">
        <v>1253</v>
      </c>
      <c r="C174" s="220" t="s">
        <v>163</v>
      </c>
      <c r="D174" s="216"/>
      <c r="E174" s="216" t="s">
        <v>1220</v>
      </c>
      <c r="F174" s="216" t="s">
        <v>152</v>
      </c>
      <c r="G174" s="216" t="s">
        <v>14357</v>
      </c>
      <c r="H174" s="217">
        <v>0</v>
      </c>
      <c r="I174" s="218" t="s">
        <v>2024</v>
      </c>
      <c r="J174" s="218" t="s">
        <v>15233</v>
      </c>
      <c r="K174" s="267"/>
      <c r="L174" s="267"/>
      <c r="M174" s="267"/>
      <c r="N174" s="267"/>
      <c r="O174" s="267"/>
      <c r="P174" s="219"/>
      <c r="Q174" s="268"/>
      <c r="R174" s="216" t="str">
        <f ca="1">IF(ISERROR($V174),"",OFFSET('Smelter Look-up'!$C$4,$V174-4,0)&amp;"")</f>
        <v>Jiangxi Xinsheng Tungsten Industry Co., Ltd.</v>
      </c>
      <c r="S174" s="224" t="str">
        <f t="shared" ca="1" si="6"/>
        <v>CN</v>
      </c>
      <c r="T174" s="224" t="str">
        <f ca="1">IF(B174="","",IF(ISERROR(MATCH($J174,SorP!$B$1:$B$6230,0)),"",INDIRECT("'SorP'!$A$"&amp;MATCH($J174,SorP!$B$1:$B$6230,0))))</f>
        <v>CN-JX</v>
      </c>
      <c r="U174" s="239"/>
      <c r="V174" s="269">
        <f>IF(C174="",NA(),MATCH($B174&amp;$C174,'Smelter Look-up'!$J:$J,0))</f>
        <v>558</v>
      </c>
      <c r="W174" s="270"/>
      <c r="X174" s="270">
        <f t="shared" si="7"/>
        <v>0</v>
      </c>
      <c r="Y174" s="270"/>
      <c r="Z174" s="270"/>
      <c r="AB174" s="272" t="str">
        <f t="shared" si="8"/>
        <v>TungstenJiangxi Xinsheng Tungsten Industry Co., Ltd.</v>
      </c>
    </row>
    <row r="175" spans="1:28" s="271" customFormat="1" ht="30" customHeight="1">
      <c r="A175" s="215" t="s">
        <v>153</v>
      </c>
      <c r="B175" s="216" t="s">
        <v>1253</v>
      </c>
      <c r="C175" s="220" t="s">
        <v>164</v>
      </c>
      <c r="D175" s="216"/>
      <c r="E175" s="216" t="s">
        <v>1220</v>
      </c>
      <c r="F175" s="216" t="s">
        <v>153</v>
      </c>
      <c r="G175" s="216" t="s">
        <v>14357</v>
      </c>
      <c r="H175" s="217">
        <v>0</v>
      </c>
      <c r="I175" s="218" t="s">
        <v>2097</v>
      </c>
      <c r="J175" s="218" t="s">
        <v>15233</v>
      </c>
      <c r="K175" s="267"/>
      <c r="L175" s="267"/>
      <c r="M175" s="267"/>
      <c r="N175" s="267"/>
      <c r="O175" s="267"/>
      <c r="P175" s="219"/>
      <c r="Q175" s="268"/>
      <c r="R175" s="216" t="str">
        <f ca="1">IF(ISERROR($V175),"",OFFSET('Smelter Look-up'!$C$4,$V175-4,0)&amp;"")</f>
        <v>Jiangxi Tonggu Non-ferrous Metallurgical &amp; Chemical Co., Ltd.</v>
      </c>
      <c r="S175" s="224" t="str">
        <f t="shared" ca="1" si="6"/>
        <v>CN</v>
      </c>
      <c r="T175" s="224" t="str">
        <f ca="1">IF(B175="","",IF(ISERROR(MATCH($J175,SorP!$B$1:$B$6230,0)),"",INDIRECT("'SorP'!$A$"&amp;MATCH($J175,SorP!$B$1:$B$6230,0))))</f>
        <v>CN-JX</v>
      </c>
      <c r="U175" s="239"/>
      <c r="V175" s="269">
        <f>IF(C175="",NA(),MATCH($B175&amp;$C175,'Smelter Look-up'!$J:$J,0))</f>
        <v>555</v>
      </c>
      <c r="W175" s="270"/>
      <c r="X175" s="270">
        <f t="shared" si="7"/>
        <v>0</v>
      </c>
      <c r="Y175" s="270"/>
      <c r="Z175" s="270"/>
      <c r="AB175" s="272" t="str">
        <f t="shared" si="8"/>
        <v>TungstenJiangxi Tonggu Non-ferrous Metallurgical &amp; Chemical Co., Ltd.</v>
      </c>
    </row>
    <row r="176" spans="1:28" s="271" customFormat="1" ht="24.75" customHeight="1">
      <c r="A176" s="215" t="s">
        <v>154</v>
      </c>
      <c r="B176" s="216" t="s">
        <v>1253</v>
      </c>
      <c r="C176" s="220" t="s">
        <v>165</v>
      </c>
      <c r="D176" s="216"/>
      <c r="E176" s="216" t="s">
        <v>1220</v>
      </c>
      <c r="F176" s="216" t="s">
        <v>154</v>
      </c>
      <c r="G176" s="216" t="s">
        <v>14357</v>
      </c>
      <c r="H176" s="217">
        <v>0</v>
      </c>
      <c r="I176" s="218" t="s">
        <v>2098</v>
      </c>
      <c r="J176" s="218" t="s">
        <v>15242</v>
      </c>
      <c r="K176" s="267"/>
      <c r="L176" s="267"/>
      <c r="M176" s="267"/>
      <c r="N176" s="267"/>
      <c r="O176" s="267"/>
      <c r="P176" s="219"/>
      <c r="Q176" s="268"/>
      <c r="R176" s="216" t="str">
        <f ca="1">IF(ISERROR($V176),"",OFFSET('Smelter Look-up'!$C$4,$V176-4,0)&amp;"")</f>
        <v>Malipo Haiyu Tungsten Co., Ltd.</v>
      </c>
      <c r="S176" s="224" t="str">
        <f t="shared" ca="1" si="6"/>
        <v>CN</v>
      </c>
      <c r="T176" s="224" t="str">
        <f ca="1">IF(B176="","",IF(ISERROR(MATCH($J176,SorP!$B$1:$B$6230,0)),"",INDIRECT("'SorP'!$A$"&amp;MATCH($J176,SorP!$B$1:$B$6230,0))))</f>
        <v>CN-YN</v>
      </c>
      <c r="U176" s="239"/>
      <c r="V176" s="269">
        <f>IF(C176="",NA(),MATCH($B176&amp;$C176,'Smelter Look-up'!$J:$J,0))</f>
        <v>565</v>
      </c>
      <c r="W176" s="270"/>
      <c r="X176" s="270">
        <f t="shared" si="7"/>
        <v>0</v>
      </c>
      <c r="Y176" s="270"/>
      <c r="Z176" s="270"/>
      <c r="AB176" s="272" t="str">
        <f t="shared" si="8"/>
        <v>TungstenMalipo Haiyu Tungsten Co., Ltd.</v>
      </c>
    </row>
    <row r="177" spans="1:28" s="271" customFormat="1" ht="24.75" customHeight="1">
      <c r="A177" s="215" t="s">
        <v>155</v>
      </c>
      <c r="B177" s="216" t="s">
        <v>1253</v>
      </c>
      <c r="C177" s="220" t="s">
        <v>166</v>
      </c>
      <c r="D177" s="216"/>
      <c r="E177" s="216" t="s">
        <v>1220</v>
      </c>
      <c r="F177" s="216" t="s">
        <v>155</v>
      </c>
      <c r="G177" s="216" t="s">
        <v>14357</v>
      </c>
      <c r="H177" s="217">
        <v>0</v>
      </c>
      <c r="I177" s="218" t="s">
        <v>2093</v>
      </c>
      <c r="J177" s="218" t="s">
        <v>15232</v>
      </c>
      <c r="K177" s="267"/>
      <c r="L177" s="267"/>
      <c r="M177" s="267"/>
      <c r="N177" s="267"/>
      <c r="O177" s="267"/>
      <c r="P177" s="219"/>
      <c r="Q177" s="268"/>
      <c r="R177" s="216" t="str">
        <f ca="1">IF(ISERROR($V177),"",OFFSET('Smelter Look-up'!$C$4,$V177-4,0)&amp;"")</f>
        <v>Xiamen Tungsten (H.C.) Co., Ltd.</v>
      </c>
      <c r="S177" s="224" t="str">
        <f t="shared" ca="1" si="6"/>
        <v>CN</v>
      </c>
      <c r="T177" s="224" t="str">
        <f ca="1">IF(B177="","",IF(ISERROR(MATCH($J177,SorP!$B$1:$B$6230,0)),"",INDIRECT("'SorP'!$A$"&amp;MATCH($J177,SorP!$B$1:$B$6230,0))))</f>
        <v>CN-FJ</v>
      </c>
      <c r="U177" s="239"/>
      <c r="V177" s="269">
        <f>IF(C177="",NA(),MATCH($B177&amp;$C177,'Smelter Look-up'!$J:$J,0))</f>
        <v>581</v>
      </c>
      <c r="W177" s="270"/>
      <c r="X177" s="270">
        <f t="shared" si="7"/>
        <v>0</v>
      </c>
      <c r="Y177" s="270"/>
      <c r="Z177" s="270"/>
      <c r="AB177" s="272" t="str">
        <f t="shared" si="8"/>
        <v>TungstenXiamen Tungsten (H.C.) Co., Ltd.</v>
      </c>
    </row>
    <row r="178" spans="1:28" s="271" customFormat="1" ht="24.75" customHeight="1">
      <c r="A178" s="215" t="s">
        <v>148</v>
      </c>
      <c r="B178" s="216" t="s">
        <v>1253</v>
      </c>
      <c r="C178" s="220" t="s">
        <v>167</v>
      </c>
      <c r="D178" s="216"/>
      <c r="E178" s="216" t="s">
        <v>1220</v>
      </c>
      <c r="F178" s="216" t="s">
        <v>148</v>
      </c>
      <c r="G178" s="216" t="s">
        <v>14357</v>
      </c>
      <c r="H178" s="217">
        <v>0</v>
      </c>
      <c r="I178" s="218" t="s">
        <v>2100</v>
      </c>
      <c r="J178" s="218" t="s">
        <v>15233</v>
      </c>
      <c r="K178" s="267"/>
      <c r="L178" s="267"/>
      <c r="M178" s="267"/>
      <c r="N178" s="267"/>
      <c r="O178" s="267"/>
      <c r="P178" s="219"/>
      <c r="Q178" s="268"/>
      <c r="R178" s="216" t="str">
        <f ca="1">IF(ISERROR($V178),"",OFFSET('Smelter Look-up'!$C$4,$V178-4,0)&amp;"")</f>
        <v>Jiangxi Gan Bei Tungsten Co., Ltd.</v>
      </c>
      <c r="S178" s="224" t="str">
        <f t="shared" ca="1" si="6"/>
        <v>CN</v>
      </c>
      <c r="T178" s="224" t="str">
        <f ca="1">IF(B178="","",IF(ISERROR(MATCH($J178,SorP!$B$1:$B$6230,0)),"",INDIRECT("'SorP'!$A$"&amp;MATCH($J178,SorP!$B$1:$B$6230,0))))</f>
        <v>CN-JX</v>
      </c>
      <c r="U178" s="239"/>
      <c r="V178" s="269">
        <f>IF(C178="",NA(),MATCH($B178&amp;$C178,'Smelter Look-up'!$J:$J,0))</f>
        <v>553</v>
      </c>
      <c r="W178" s="270"/>
      <c r="X178" s="270">
        <f t="shared" si="7"/>
        <v>0</v>
      </c>
      <c r="Y178" s="270"/>
      <c r="Z178" s="270"/>
      <c r="AB178" s="272" t="str">
        <f t="shared" si="8"/>
        <v>TungstenJiangxi Gan Bei Tungsten Co., Ltd.</v>
      </c>
    </row>
    <row r="179" spans="1:28" s="271" customFormat="1" ht="24.75" customHeight="1">
      <c r="A179" s="215" t="s">
        <v>1541</v>
      </c>
      <c r="B179" s="216" t="s">
        <v>1251</v>
      </c>
      <c r="C179" s="220" t="s">
        <v>1540</v>
      </c>
      <c r="D179" s="216"/>
      <c r="E179" s="216" t="s">
        <v>1225</v>
      </c>
      <c r="F179" s="216" t="s">
        <v>1541</v>
      </c>
      <c r="G179" s="216" t="s">
        <v>14357</v>
      </c>
      <c r="H179" s="217">
        <v>0</v>
      </c>
      <c r="I179" s="218" t="s">
        <v>2017</v>
      </c>
      <c r="J179" s="218" t="s">
        <v>13917</v>
      </c>
      <c r="K179" s="267"/>
      <c r="L179" s="267"/>
      <c r="M179" s="267"/>
      <c r="N179" s="267"/>
      <c r="O179" s="267"/>
      <c r="P179" s="219"/>
      <c r="Q179" s="268"/>
      <c r="R179" s="216" t="str">
        <f ca="1">IF(ISERROR($V179),"",OFFSET('Smelter Look-up'!$C$4,$V179-4,0)&amp;"")</f>
        <v>CV Venus Inti Perkasa</v>
      </c>
      <c r="S179" s="224" t="str">
        <f t="shared" ca="1" si="6"/>
        <v>ID</v>
      </c>
      <c r="T179" s="224" t="str">
        <f ca="1">IF(B179="","",IF(ISERROR(MATCH($J179,SorP!$B$1:$B$6230,0)),"",INDIRECT("'SorP'!$A$"&amp;MATCH($J179,SorP!$B$1:$B$6230,0))))</f>
        <v>ID-BB</v>
      </c>
      <c r="U179" s="239"/>
      <c r="V179" s="269">
        <f>IF(C179="",NA(),MATCH($B179&amp;$C179,'Smelter Look-up'!$J:$J,0))</f>
        <v>375</v>
      </c>
      <c r="W179" s="270"/>
      <c r="X179" s="270">
        <f t="shared" si="7"/>
        <v>0</v>
      </c>
      <c r="Y179" s="270"/>
      <c r="Z179" s="270"/>
      <c r="AB179" s="272" t="str">
        <f t="shared" si="8"/>
        <v>TinCV Venus Inti Perkasa</v>
      </c>
    </row>
    <row r="180" spans="1:28" s="271" customFormat="1" ht="24.75" customHeight="1">
      <c r="A180" s="215" t="s">
        <v>1936</v>
      </c>
      <c r="B180" s="216" t="s">
        <v>1250</v>
      </c>
      <c r="C180" s="220" t="s">
        <v>1935</v>
      </c>
      <c r="D180" s="216"/>
      <c r="E180" s="216" t="s">
        <v>3092</v>
      </c>
      <c r="F180" s="216" t="s">
        <v>1936</v>
      </c>
      <c r="G180" s="216" t="s">
        <v>14357</v>
      </c>
      <c r="H180" s="217">
        <v>0</v>
      </c>
      <c r="I180" s="218" t="s">
        <v>1775</v>
      </c>
      <c r="J180" s="218" t="s">
        <v>1776</v>
      </c>
      <c r="K180" s="267"/>
      <c r="L180" s="267"/>
      <c r="M180" s="267"/>
      <c r="N180" s="267"/>
      <c r="O180" s="267"/>
      <c r="P180" s="219"/>
      <c r="Q180" s="268"/>
      <c r="R180" s="216" t="str">
        <f ca="1">IF(ISERROR($V180),"",OFFSET('Smelter Look-up'!$C$4,$V180-4,0)&amp;"")</f>
        <v>Geib Refining Corporation</v>
      </c>
      <c r="S180" s="224" t="str">
        <f t="shared" ca="1" si="6"/>
        <v>US</v>
      </c>
      <c r="T180" s="224" t="str">
        <f ca="1">IF(B180="","",IF(ISERROR(MATCH($J180,SorP!$B$1:$B$6230,0)),"",INDIRECT("'SorP'!$A$"&amp;MATCH($J180,SorP!$B$1:$B$6230,0))))</f>
        <v>US-RI</v>
      </c>
      <c r="U180" s="239"/>
      <c r="V180" s="269">
        <f>IF(C180="",NA(),MATCH($B180&amp;$C180,'Smelter Look-up'!$J:$J,0))</f>
        <v>75</v>
      </c>
      <c r="W180" s="270"/>
      <c r="X180" s="270">
        <f t="shared" si="7"/>
        <v>0</v>
      </c>
      <c r="Y180" s="270"/>
      <c r="Z180" s="270"/>
      <c r="AB180" s="272" t="str">
        <f t="shared" si="8"/>
        <v>GoldGeib Refining Corporation</v>
      </c>
    </row>
    <row r="181" spans="1:28" s="271" customFormat="1" ht="24.75" customHeight="1">
      <c r="A181" s="215" t="s">
        <v>149</v>
      </c>
      <c r="B181" s="216" t="s">
        <v>1251</v>
      </c>
      <c r="C181" s="220" t="s">
        <v>2579</v>
      </c>
      <c r="D181" s="216"/>
      <c r="E181" s="216" t="s">
        <v>1216</v>
      </c>
      <c r="F181" s="216" t="s">
        <v>149</v>
      </c>
      <c r="G181" s="216" t="s">
        <v>14357</v>
      </c>
      <c r="H181" s="217">
        <v>0</v>
      </c>
      <c r="I181" s="218" t="s">
        <v>1966</v>
      </c>
      <c r="J181" s="218" t="s">
        <v>1784</v>
      </c>
      <c r="K181" s="267"/>
      <c r="L181" s="267"/>
      <c r="M181" s="267"/>
      <c r="N181" s="267"/>
      <c r="O181" s="267"/>
      <c r="P181" s="219"/>
      <c r="Q181" s="268"/>
      <c r="R181" s="216" t="str">
        <f ca="1">IF(ISERROR($V181),"",OFFSET('Smelter Look-up'!$C$4,$V181-4,0)&amp;"")</f>
        <v>Magnu's Minerais Metais e Ligas Ltda.</v>
      </c>
      <c r="S181" s="224" t="str">
        <f t="shared" ca="1" si="6"/>
        <v>BR</v>
      </c>
      <c r="T181" s="224" t="str">
        <f ca="1">IF(B181="","",IF(ISERROR(MATCH($J181,SorP!$B$1:$B$6230,0)),"",INDIRECT("'SorP'!$A$"&amp;MATCH($J181,SorP!$B$1:$B$6230,0))))</f>
        <v>BR-MG</v>
      </c>
      <c r="U181" s="239"/>
      <c r="V181" s="269">
        <f>IF(C181="",NA(),MATCH($B181&amp;$C181,'Smelter Look-up'!$J:$J,0))</f>
        <v>417</v>
      </c>
      <c r="W181" s="270"/>
      <c r="X181" s="270">
        <f t="shared" si="7"/>
        <v>0</v>
      </c>
      <c r="Y181" s="270"/>
      <c r="Z181" s="270"/>
      <c r="AB181" s="272" t="str">
        <f t="shared" si="8"/>
        <v>TinMagnu's Minerais Metais e Ligas Ltda.</v>
      </c>
    </row>
    <row r="182" spans="1:28" s="271" customFormat="1" ht="24.75" customHeight="1">
      <c r="A182" s="215" t="s">
        <v>15432</v>
      </c>
      <c r="B182" s="216" t="s">
        <v>1251</v>
      </c>
      <c r="C182" s="220" t="s">
        <v>15431</v>
      </c>
      <c r="D182" s="216"/>
      <c r="E182" s="216" t="s">
        <v>1225</v>
      </c>
      <c r="F182" s="216" t="s">
        <v>15432</v>
      </c>
      <c r="G182" s="216" t="s">
        <v>15499</v>
      </c>
      <c r="H182" s="217" t="s">
        <v>15499</v>
      </c>
      <c r="I182" s="218" t="s">
        <v>15499</v>
      </c>
      <c r="J182" s="218" t="s">
        <v>15499</v>
      </c>
      <c r="K182" s="267"/>
      <c r="L182" s="267"/>
      <c r="M182" s="267"/>
      <c r="N182" s="267"/>
      <c r="O182" s="267"/>
      <c r="P182" s="219"/>
      <c r="Q182" s="268"/>
      <c r="R182" s="216" t="str">
        <f ca="1">IF(ISERROR($V182),"",OFFSET('Smelter Look-up'!$C$4,$V182-4,0)&amp;"")</f>
        <v>PT Tirus Putra Mandiri</v>
      </c>
      <c r="S182" s="224" t="str">
        <f t="shared" ca="1" si="6"/>
        <v>ID</v>
      </c>
      <c r="T182" s="224" t="str">
        <f ca="1">IF(B182="","",IF(ISERROR(MATCH($J182,SorP!$B$1:$B$6230,0)),"",INDIRECT("'SorP'!$A$"&amp;MATCH($J182,SorP!$B$1:$B$6230,0))))</f>
        <v/>
      </c>
      <c r="U182" s="239"/>
      <c r="V182" s="269">
        <f>IF(C182="",NA(),MATCH($B182&amp;$C182,'Smelter Look-up'!$J:$J,0))</f>
        <v>475</v>
      </c>
      <c r="W182" s="270"/>
      <c r="X182" s="270">
        <f t="shared" si="7"/>
        <v>0</v>
      </c>
      <c r="Y182" s="270"/>
      <c r="Z182" s="270"/>
      <c r="AB182" s="272" t="str">
        <f t="shared" si="8"/>
        <v>TinPT Tirus Putra Mandiri</v>
      </c>
    </row>
    <row r="183" spans="1:28" s="271" customFormat="1" ht="24.75" customHeight="1">
      <c r="A183" s="215" t="s">
        <v>459</v>
      </c>
      <c r="B183" s="216" t="s">
        <v>1252</v>
      </c>
      <c r="C183" s="220" t="s">
        <v>4</v>
      </c>
      <c r="D183" s="216"/>
      <c r="E183" s="216" t="s">
        <v>1220</v>
      </c>
      <c r="F183" s="216" t="s">
        <v>459</v>
      </c>
      <c r="G183" s="216" t="s">
        <v>14357</v>
      </c>
      <c r="H183" s="217">
        <v>0</v>
      </c>
      <c r="I183" s="218" t="s">
        <v>1986</v>
      </c>
      <c r="J183" s="218" t="s">
        <v>15237</v>
      </c>
      <c r="K183" s="267"/>
      <c r="L183" s="267"/>
      <c r="M183" s="267"/>
      <c r="N183" s="267"/>
      <c r="O183" s="267"/>
      <c r="P183" s="219"/>
      <c r="Q183" s="268"/>
      <c r="R183" s="216" t="str">
        <f ca="1">IF(ISERROR($V183),"",OFFSET('Smelter Look-up'!$C$4,$V183-4,0)&amp;"")</f>
        <v>Hengyang King Xing Lifeng New Materials Co., Ltd.</v>
      </c>
      <c r="S183" s="224" t="str">
        <f t="shared" ca="1" si="6"/>
        <v>CN</v>
      </c>
      <c r="T183" s="224" t="str">
        <f ca="1">IF(B183="","",IF(ISERROR(MATCH($J183,SorP!$B$1:$B$6230,0)),"",INDIRECT("'SorP'!$A$"&amp;MATCH($J183,SorP!$B$1:$B$6230,0))))</f>
        <v>CN-HN</v>
      </c>
      <c r="U183" s="239"/>
      <c r="V183" s="269">
        <f>IF(C183="",NA(),MATCH($B183&amp;$C183,'Smelter Look-up'!$J:$J,0))</f>
        <v>306</v>
      </c>
      <c r="W183" s="270"/>
      <c r="X183" s="270">
        <f t="shared" si="7"/>
        <v>0</v>
      </c>
      <c r="Y183" s="270"/>
      <c r="Z183" s="270"/>
      <c r="AB183" s="272" t="str">
        <f t="shared" si="8"/>
        <v>TantalumHengyang King Xing Lifeng New Materials Co., Ltd.</v>
      </c>
    </row>
    <row r="184" spans="1:28" s="271" customFormat="1" ht="24.75" customHeight="1">
      <c r="A184" s="215" t="s">
        <v>456</v>
      </c>
      <c r="B184" s="216" t="s">
        <v>1253</v>
      </c>
      <c r="C184" s="220" t="s">
        <v>455</v>
      </c>
      <c r="D184" s="216"/>
      <c r="E184" s="216" t="s">
        <v>1220</v>
      </c>
      <c r="F184" s="216" t="s">
        <v>456</v>
      </c>
      <c r="G184" s="216" t="s">
        <v>14357</v>
      </c>
      <c r="H184" s="217">
        <v>0</v>
      </c>
      <c r="I184" s="218" t="s">
        <v>2024</v>
      </c>
      <c r="J184" s="218" t="s">
        <v>15233</v>
      </c>
      <c r="K184" s="267"/>
      <c r="L184" s="267"/>
      <c r="M184" s="267"/>
      <c r="N184" s="267"/>
      <c r="O184" s="267"/>
      <c r="P184" s="219"/>
      <c r="Q184" s="268"/>
      <c r="R184" s="216" t="str">
        <f ca="1">IF(ISERROR($V184),"",OFFSET('Smelter Look-up'!$C$4,$V184-4,0)&amp;"")</f>
        <v>Ganzhou Seadragon W &amp; Mo Co., Ltd.</v>
      </c>
      <c r="S184" s="224" t="str">
        <f t="shared" ca="1" si="6"/>
        <v>CN</v>
      </c>
      <c r="T184" s="224" t="str">
        <f ca="1">IF(B184="","",IF(ISERROR(MATCH($J184,SorP!$B$1:$B$6230,0)),"",INDIRECT("'SorP'!$A$"&amp;MATCH($J184,SorP!$B$1:$B$6230,0))))</f>
        <v>CN-JX</v>
      </c>
      <c r="U184" s="239"/>
      <c r="V184" s="269">
        <f>IF(C184="",NA(),MATCH($B184&amp;$C184,'Smelter Look-up'!$J:$J,0))</f>
        <v>536</v>
      </c>
      <c r="W184" s="270"/>
      <c r="X184" s="270">
        <f t="shared" si="7"/>
        <v>0</v>
      </c>
      <c r="Y184" s="270"/>
      <c r="Z184" s="270"/>
      <c r="AB184" s="272" t="str">
        <f t="shared" si="8"/>
        <v>TungstenGanzhou Seadragon W &amp; Mo Co., Ltd.</v>
      </c>
    </row>
    <row r="185" spans="1:28" s="271" customFormat="1" ht="24.75" customHeight="1">
      <c r="A185" s="215" t="s">
        <v>1456</v>
      </c>
      <c r="B185" s="216" t="s">
        <v>1251</v>
      </c>
      <c r="C185" s="220" t="s">
        <v>2969</v>
      </c>
      <c r="D185" s="216"/>
      <c r="E185" s="216" t="s">
        <v>1216</v>
      </c>
      <c r="F185" s="216" t="s">
        <v>1456</v>
      </c>
      <c r="G185" s="216" t="s">
        <v>14357</v>
      </c>
      <c r="H185" s="217">
        <v>0</v>
      </c>
      <c r="I185" s="218" t="s">
        <v>2014</v>
      </c>
      <c r="J185" s="218" t="s">
        <v>2020</v>
      </c>
      <c r="K185" s="267"/>
      <c r="L185" s="267"/>
      <c r="M185" s="267"/>
      <c r="N185" s="267"/>
      <c r="O185" s="267"/>
      <c r="P185" s="219"/>
      <c r="Q185" s="268"/>
      <c r="R185" s="216" t="str">
        <f ca="1">IF(ISERROR($V185),"",OFFSET('Smelter Look-up'!$C$4,$V185-4,0)&amp;"")</f>
        <v>Melt Metais e Ligas S.A.</v>
      </c>
      <c r="S185" s="224" t="str">
        <f t="shared" ca="1" si="6"/>
        <v>BR</v>
      </c>
      <c r="T185" s="224" t="str">
        <f ca="1">IF(B185="","",IF(ISERROR(MATCH($J185,SorP!$B$1:$B$6230,0)),"",INDIRECT("'SorP'!$A$"&amp;MATCH($J185,SorP!$B$1:$B$6230,0))))</f>
        <v>BR-RO</v>
      </c>
      <c r="U185" s="239"/>
      <c r="V185" s="269">
        <f>IF(C185="",NA(),MATCH($B185&amp;$C185,'Smelter Look-up'!$J:$J,0))</f>
        <v>419</v>
      </c>
      <c r="W185" s="270"/>
      <c r="X185" s="270">
        <f t="shared" si="7"/>
        <v>0</v>
      </c>
      <c r="Y185" s="270"/>
      <c r="Z185" s="270"/>
      <c r="AB185" s="272" t="str">
        <f t="shared" si="8"/>
        <v>TinMelt Metais e Ligas S.A.</v>
      </c>
    </row>
    <row r="186" spans="1:28" s="271" customFormat="1" ht="24.75" customHeight="1">
      <c r="A186" s="215" t="s">
        <v>1545</v>
      </c>
      <c r="B186" s="216" t="s">
        <v>1251</v>
      </c>
      <c r="C186" s="220" t="s">
        <v>1544</v>
      </c>
      <c r="D186" s="216"/>
      <c r="E186" s="216" t="s">
        <v>1225</v>
      </c>
      <c r="F186" s="216" t="s">
        <v>1545</v>
      </c>
      <c r="G186" s="216" t="s">
        <v>14357</v>
      </c>
      <c r="H186" s="217">
        <v>0</v>
      </c>
      <c r="I186" s="218" t="s">
        <v>2015</v>
      </c>
      <c r="J186" s="218" t="s">
        <v>13917</v>
      </c>
      <c r="K186" s="267"/>
      <c r="L186" s="267"/>
      <c r="M186" s="267"/>
      <c r="N186" s="267"/>
      <c r="O186" s="267"/>
      <c r="P186" s="219"/>
      <c r="Q186" s="268"/>
      <c r="R186" s="216" t="str">
        <f ca="1">IF(ISERROR($V186),"",OFFSET('Smelter Look-up'!$C$4,$V186-4,0)&amp;"")</f>
        <v>PT ATD Makmur Mandiri Jaya</v>
      </c>
      <c r="S186" s="224" t="str">
        <f t="shared" ca="1" si="6"/>
        <v>ID</v>
      </c>
      <c r="T186" s="224" t="str">
        <f ca="1">IF(B186="","",IF(ISERROR(MATCH($J186,SorP!$B$1:$B$6230,0)),"",INDIRECT("'SorP'!$A$"&amp;MATCH($J186,SorP!$B$1:$B$6230,0))))</f>
        <v>ID-BB</v>
      </c>
      <c r="U186" s="239"/>
      <c r="V186" s="269">
        <f>IF(C186="",NA(),MATCH($B186&amp;$C186,'Smelter Look-up'!$J:$J,0))</f>
        <v>444</v>
      </c>
      <c r="W186" s="270"/>
      <c r="X186" s="270">
        <f t="shared" si="7"/>
        <v>0</v>
      </c>
      <c r="Y186" s="270"/>
      <c r="Z186" s="270"/>
      <c r="AB186" s="272" t="str">
        <f t="shared" si="8"/>
        <v>TinPT ATD Makmur Mandiri Jaya</v>
      </c>
    </row>
    <row r="187" spans="1:28" s="271" customFormat="1" ht="24.75" customHeight="1">
      <c r="A187" s="215" t="s">
        <v>1535</v>
      </c>
      <c r="B187" s="216" t="s">
        <v>1252</v>
      </c>
      <c r="C187" s="220" t="s">
        <v>1534</v>
      </c>
      <c r="D187" s="216"/>
      <c r="E187" s="216" t="s">
        <v>3092</v>
      </c>
      <c r="F187" s="216" t="s">
        <v>1535</v>
      </c>
      <c r="G187" s="216" t="s">
        <v>14357</v>
      </c>
      <c r="H187" s="217">
        <v>0</v>
      </c>
      <c r="I187" s="218" t="s">
        <v>1987</v>
      </c>
      <c r="J187" s="218" t="s">
        <v>1988</v>
      </c>
      <c r="K187" s="267"/>
      <c r="L187" s="267"/>
      <c r="M187" s="267"/>
      <c r="N187" s="267"/>
      <c r="O187" s="267"/>
      <c r="P187" s="219"/>
      <c r="Q187" s="268"/>
      <c r="R187" s="216" t="str">
        <f ca="1">IF(ISERROR($V187),"",OFFSET('Smelter Look-up'!$C$4,$V187-4,0)&amp;"")</f>
        <v>D Block Metals, LLC</v>
      </c>
      <c r="S187" s="224" t="str">
        <f t="shared" ca="1" si="6"/>
        <v>US</v>
      </c>
      <c r="T187" s="224" t="str">
        <f ca="1">IF(B187="","",IF(ISERROR(MATCH($J187,SorP!$B$1:$B$6230,0)),"",INDIRECT("'SorP'!$A$"&amp;MATCH($J187,SorP!$B$1:$B$6230,0))))</f>
        <v>US-NC</v>
      </c>
      <c r="U187" s="239"/>
      <c r="V187" s="269">
        <f>IF(C187="",NA(),MATCH($B187&amp;$C187,'Smelter Look-up'!$J:$J,0))</f>
        <v>291</v>
      </c>
      <c r="W187" s="270"/>
      <c r="X187" s="270">
        <f t="shared" si="7"/>
        <v>0</v>
      </c>
      <c r="Y187" s="270"/>
      <c r="Z187" s="270"/>
      <c r="AB187" s="272" t="str">
        <f t="shared" si="8"/>
        <v>TantalumD Block Metals, LLC</v>
      </c>
    </row>
    <row r="188" spans="1:28" s="271" customFormat="1" ht="24.75" customHeight="1">
      <c r="A188" s="215" t="s">
        <v>1536</v>
      </c>
      <c r="B188" s="216" t="s">
        <v>1252</v>
      </c>
      <c r="C188" s="220" t="s">
        <v>2580</v>
      </c>
      <c r="D188" s="216"/>
      <c r="E188" s="216" t="s">
        <v>1220</v>
      </c>
      <c r="F188" s="216" t="s">
        <v>1536</v>
      </c>
      <c r="G188" s="216" t="s">
        <v>14357</v>
      </c>
      <c r="H188" s="217">
        <v>0</v>
      </c>
      <c r="I188" s="218" t="s">
        <v>1978</v>
      </c>
      <c r="J188" s="218" t="s">
        <v>15237</v>
      </c>
      <c r="K188" s="267"/>
      <c r="L188" s="267"/>
      <c r="M188" s="267"/>
      <c r="N188" s="267"/>
      <c r="O188" s="267"/>
      <c r="P188" s="219"/>
      <c r="Q188" s="268"/>
      <c r="R188" s="216" t="str">
        <f ca="1">IF(ISERROR($V188),"",OFFSET('Smelter Look-up'!$C$4,$V188-4,0)&amp;"")</f>
        <v>FIR Metals &amp; Resource Ltd.</v>
      </c>
      <c r="S188" s="224" t="str">
        <f t="shared" ca="1" si="6"/>
        <v>CN</v>
      </c>
      <c r="T188" s="224" t="str">
        <f ca="1">IF(B188="","",IF(ISERROR(MATCH($J188,SorP!$B$1:$B$6230,0)),"",INDIRECT("'SorP'!$A$"&amp;MATCH($J188,SorP!$B$1:$B$6230,0))))</f>
        <v>CN-HN</v>
      </c>
      <c r="U188" s="239"/>
      <c r="V188" s="269">
        <f>IF(C188="",NA(),MATCH($B188&amp;$C188,'Smelter Look-up'!$J:$J,0))</f>
        <v>295</v>
      </c>
      <c r="W188" s="270"/>
      <c r="X188" s="270">
        <f t="shared" si="7"/>
        <v>0</v>
      </c>
      <c r="Y188" s="270"/>
      <c r="Z188" s="270"/>
      <c r="AB188" s="272" t="str">
        <f t="shared" si="8"/>
        <v>TantalumFIR Metals &amp; Resource Ltd.</v>
      </c>
    </row>
    <row r="189" spans="1:28" s="271" customFormat="1" ht="24.75" customHeight="1">
      <c r="A189" s="215" t="s">
        <v>1538</v>
      </c>
      <c r="B189" s="216" t="s">
        <v>1252</v>
      </c>
      <c r="C189" s="220" t="s">
        <v>2581</v>
      </c>
      <c r="D189" s="216"/>
      <c r="E189" s="216" t="s">
        <v>1220</v>
      </c>
      <c r="F189" s="216" t="s">
        <v>1538</v>
      </c>
      <c r="G189" s="216" t="s">
        <v>14357</v>
      </c>
      <c r="H189" s="217">
        <v>0</v>
      </c>
      <c r="I189" s="218" t="s">
        <v>1965</v>
      </c>
      <c r="J189" s="218" t="s">
        <v>15233</v>
      </c>
      <c r="K189" s="267"/>
      <c r="L189" s="267"/>
      <c r="M189" s="267"/>
      <c r="N189" s="267"/>
      <c r="O189" s="267"/>
      <c r="P189" s="219"/>
      <c r="Q189" s="268"/>
      <c r="R189" s="216" t="str">
        <f ca="1">IF(ISERROR($V189),"",OFFSET('Smelter Look-up'!$C$4,$V189-4,0)&amp;"")</f>
        <v>Jiujiang Zhongao Tantalum &amp; Niobium Co., Ltd.</v>
      </c>
      <c r="S189" s="224" t="str">
        <f t="shared" ca="1" si="6"/>
        <v>CN</v>
      </c>
      <c r="T189" s="224" t="str">
        <f ca="1">IF(B189="","",IF(ISERROR(MATCH($J189,SorP!$B$1:$B$6230,0)),"",INDIRECT("'SorP'!$A$"&amp;MATCH($J189,SorP!$B$1:$B$6230,0))))</f>
        <v>CN-JX</v>
      </c>
      <c r="U189" s="239"/>
      <c r="V189" s="269">
        <f>IF(C189="",NA(),MATCH($B189&amp;$C189,'Smelter Look-up'!$J:$J,0))</f>
        <v>313</v>
      </c>
      <c r="W189" s="270"/>
      <c r="X189" s="270">
        <f t="shared" si="7"/>
        <v>0</v>
      </c>
      <c r="Y189" s="270"/>
      <c r="Z189" s="270"/>
      <c r="AB189" s="272" t="str">
        <f t="shared" si="8"/>
        <v>TantalumJiujiang Zhongao Tantalum &amp; Niobium Co., Ltd.</v>
      </c>
    </row>
    <row r="190" spans="1:28" s="271" customFormat="1" ht="24.75" customHeight="1">
      <c r="A190" s="215" t="s">
        <v>1539</v>
      </c>
      <c r="B190" s="216" t="s">
        <v>1252</v>
      </c>
      <c r="C190" s="220" t="s">
        <v>2582</v>
      </c>
      <c r="D190" s="216"/>
      <c r="E190" s="216" t="s">
        <v>1220</v>
      </c>
      <c r="F190" s="216" t="s">
        <v>1539</v>
      </c>
      <c r="G190" s="216" t="s">
        <v>14357</v>
      </c>
      <c r="H190" s="217">
        <v>0</v>
      </c>
      <c r="I190" s="218" t="s">
        <v>1989</v>
      </c>
      <c r="J190" s="218" t="s">
        <v>15238</v>
      </c>
      <c r="K190" s="267"/>
      <c r="L190" s="267"/>
      <c r="M190" s="267"/>
      <c r="N190" s="267"/>
      <c r="O190" s="267"/>
      <c r="P190" s="219"/>
      <c r="Q190" s="268"/>
      <c r="R190" s="216" t="str">
        <f ca="1">IF(ISERROR($V190),"",OFFSET('Smelter Look-up'!$C$4,$V190-4,0)&amp;"")</f>
        <v>XinXing HaoRong Electronic Material Co., Ltd.</v>
      </c>
      <c r="S190" s="224" t="str">
        <f t="shared" ca="1" si="6"/>
        <v>CN</v>
      </c>
      <c r="T190" s="224" t="str">
        <f ca="1">IF(B190="","",IF(ISERROR(MATCH($J190,SorP!$B$1:$B$6230,0)),"",INDIRECT("'SorP'!$A$"&amp;MATCH($J190,SorP!$B$1:$B$6230,0))))</f>
        <v>CN-GD</v>
      </c>
      <c r="U190" s="239"/>
      <c r="V190" s="269">
        <f>IF(C190="",NA(),MATCH($B190&amp;$C190,'Smelter Look-up'!$J:$J,0))</f>
        <v>344</v>
      </c>
      <c r="W190" s="270"/>
      <c r="X190" s="270">
        <f t="shared" si="7"/>
        <v>0</v>
      </c>
      <c r="Y190" s="270"/>
      <c r="Z190" s="270"/>
      <c r="AB190" s="272" t="str">
        <f t="shared" si="8"/>
        <v>TantalumXinXing HaoRong Electronic Material Co., Ltd.</v>
      </c>
    </row>
    <row r="191" spans="1:28" s="271" customFormat="1" ht="24.75" customHeight="1">
      <c r="A191" s="215" t="s">
        <v>1530</v>
      </c>
      <c r="B191" s="216" t="s">
        <v>1250</v>
      </c>
      <c r="C191" s="220" t="s">
        <v>2583</v>
      </c>
      <c r="D191" s="216"/>
      <c r="E191" s="216" t="s">
        <v>1226</v>
      </c>
      <c r="F191" s="216" t="s">
        <v>1530</v>
      </c>
      <c r="G191" s="216" t="s">
        <v>14357</v>
      </c>
      <c r="H191" s="217">
        <v>0</v>
      </c>
      <c r="I191" s="218" t="s">
        <v>1937</v>
      </c>
      <c r="J191" s="218" t="s">
        <v>1938</v>
      </c>
      <c r="K191" s="267"/>
      <c r="L191" s="267"/>
      <c r="M191" s="267"/>
      <c r="N191" s="267"/>
      <c r="O191" s="267"/>
      <c r="P191" s="219"/>
      <c r="Q191" s="268"/>
      <c r="R191" s="216" t="str">
        <f ca="1">IF(ISERROR($V191),"",OFFSET('Smelter Look-up'!$C$4,$V191-4,0)&amp;"")</f>
        <v>MMTC-PAMP India Pvt., Ltd.</v>
      </c>
      <c r="S191" s="224" t="str">
        <f t="shared" ca="1" si="6"/>
        <v>IN</v>
      </c>
      <c r="T191" s="224" t="str">
        <f ca="1">IF(B191="","",IF(ISERROR(MATCH($J191,SorP!$B$1:$B$6230,0)),"",INDIRECT("'SorP'!$A$"&amp;MATCH($J191,SorP!$B$1:$B$6230,0))))</f>
        <v>IN-HR</v>
      </c>
      <c r="U191" s="239"/>
      <c r="V191" s="269">
        <f>IF(C191="",NA(),MATCH($B191&amp;$C191,'Smelter Look-up'!$J:$J,0))</f>
        <v>158</v>
      </c>
      <c r="W191" s="270"/>
      <c r="X191" s="270">
        <f t="shared" si="7"/>
        <v>0</v>
      </c>
      <c r="Y191" s="270"/>
      <c r="Z191" s="270"/>
      <c r="AB191" s="272" t="str">
        <f t="shared" si="8"/>
        <v>GoldMMTC-PAMP India Pvt., Ltd.</v>
      </c>
    </row>
    <row r="192" spans="1:28" s="271" customFormat="1" ht="24.75" customHeight="1">
      <c r="A192" s="215" t="s">
        <v>1528</v>
      </c>
      <c r="B192" s="216" t="s">
        <v>1250</v>
      </c>
      <c r="C192" s="220" t="s">
        <v>13732</v>
      </c>
      <c r="D192" s="216"/>
      <c r="E192" s="216" t="s">
        <v>998</v>
      </c>
      <c r="F192" s="216" t="s">
        <v>1528</v>
      </c>
      <c r="G192" s="216" t="s">
        <v>14357</v>
      </c>
      <c r="H192" s="217">
        <v>0</v>
      </c>
      <c r="I192" s="218" t="s">
        <v>1940</v>
      </c>
      <c r="J192" s="218" t="s">
        <v>10366</v>
      </c>
      <c r="K192" s="267"/>
      <c r="L192" s="267"/>
      <c r="M192" s="267"/>
      <c r="N192" s="267"/>
      <c r="O192" s="267"/>
      <c r="P192" s="219"/>
      <c r="Q192" s="268"/>
      <c r="R192" s="216" t="str">
        <f ca="1">IF(ISERROR($V192),"",OFFSET('Smelter Look-up'!$C$4,$V192-4,0)&amp;"")</f>
        <v>KGHM Polska Miedz Spolka Akcyjna</v>
      </c>
      <c r="S192" s="224" t="str">
        <f t="shared" ca="1" si="6"/>
        <v>PL</v>
      </c>
      <c r="T192" s="224" t="str">
        <f ca="1">IF(B192="","",IF(ISERROR(MATCH($J192,SorP!$B$1:$B$6230,0)),"",INDIRECT("'SorP'!$A$"&amp;MATCH($J192,SorP!$B$1:$B$6230,0))))</f>
        <v>PL-02</v>
      </c>
      <c r="U192" s="239"/>
      <c r="V192" s="269">
        <f>IF(C192="",NA(),MATCH($B192&amp;$C192,'Smelter Look-up'!$J:$J,0))</f>
        <v>119</v>
      </c>
      <c r="W192" s="270"/>
      <c r="X192" s="270">
        <f t="shared" si="7"/>
        <v>0</v>
      </c>
      <c r="Y192" s="270"/>
      <c r="Z192" s="270"/>
      <c r="AB192" s="272" t="str">
        <f t="shared" si="8"/>
        <v>GoldKGHM Polska Miedz Spolka Akcyjna</v>
      </c>
    </row>
    <row r="193" spans="1:28" s="271" customFormat="1" ht="24.75" customHeight="1">
      <c r="A193" s="215" t="s">
        <v>1537</v>
      </c>
      <c r="B193" s="216" t="s">
        <v>1252</v>
      </c>
      <c r="C193" s="220" t="s">
        <v>2584</v>
      </c>
      <c r="D193" s="216"/>
      <c r="E193" s="216" t="s">
        <v>1220</v>
      </c>
      <c r="F193" s="216" t="s">
        <v>1537</v>
      </c>
      <c r="G193" s="216" t="s">
        <v>14357</v>
      </c>
      <c r="H193" s="217">
        <v>0</v>
      </c>
      <c r="I193" s="218" t="s">
        <v>1990</v>
      </c>
      <c r="J193" s="218" t="s">
        <v>15233</v>
      </c>
      <c r="K193" s="267"/>
      <c r="L193" s="267"/>
      <c r="M193" s="267"/>
      <c r="N193" s="267"/>
      <c r="O193" s="267"/>
      <c r="P193" s="219"/>
      <c r="Q193" s="268"/>
      <c r="R193" s="216" t="str">
        <f ca="1">IF(ISERROR($V193),"",OFFSET('Smelter Look-up'!$C$4,$V193-4,0)&amp;"")</f>
        <v>Jiangxi Dinghai Tantalum &amp; Niobium Co., Ltd.</v>
      </c>
      <c r="S193" s="224" t="str">
        <f t="shared" ca="1" si="6"/>
        <v>CN</v>
      </c>
      <c r="T193" s="224" t="str">
        <f ca="1">IF(B193="","",IF(ISERROR(MATCH($J193,SorP!$B$1:$B$6230,0)),"",INDIRECT("'SorP'!$A$"&amp;MATCH($J193,SorP!$B$1:$B$6230,0))))</f>
        <v>CN-JX</v>
      </c>
      <c r="U193" s="239"/>
      <c r="V193" s="269">
        <f>IF(C193="",NA(),MATCH($B193&amp;$C193,'Smelter Look-up'!$J:$J,0))</f>
        <v>307</v>
      </c>
      <c r="W193" s="270"/>
      <c r="X193" s="270">
        <f t="shared" si="7"/>
        <v>0</v>
      </c>
      <c r="Y193" s="270"/>
      <c r="Z193" s="270"/>
      <c r="AB193" s="272" t="str">
        <f t="shared" si="8"/>
        <v>TantalumJiangxi Dinghai Tantalum &amp; Niobium Co., Ltd.</v>
      </c>
    </row>
    <row r="194" spans="1:28" s="271" customFormat="1" ht="24.75" customHeight="1">
      <c r="A194" s="215" t="s">
        <v>1549</v>
      </c>
      <c r="B194" s="216" t="s">
        <v>1253</v>
      </c>
      <c r="C194" s="220" t="s">
        <v>1548</v>
      </c>
      <c r="D194" s="216"/>
      <c r="E194" s="216" t="s">
        <v>1220</v>
      </c>
      <c r="F194" s="216" t="s">
        <v>1549</v>
      </c>
      <c r="G194" s="216" t="s">
        <v>14357</v>
      </c>
      <c r="H194" s="217">
        <v>0</v>
      </c>
      <c r="I194" s="218" t="s">
        <v>2025</v>
      </c>
      <c r="J194" s="218" t="s">
        <v>15237</v>
      </c>
      <c r="K194" s="267"/>
      <c r="L194" s="267"/>
      <c r="M194" s="267"/>
      <c r="N194" s="267"/>
      <c r="O194" s="267"/>
      <c r="P194" s="219"/>
      <c r="Q194" s="268"/>
      <c r="R194" s="216" t="str">
        <f ca="1">IF(ISERROR($V194),"",OFFSET('Smelter Look-up'!$C$4,$V194-4,0)&amp;"")</f>
        <v>Chenzhou Diamond Tungsten Products Co., Ltd.</v>
      </c>
      <c r="S194" s="224" t="str">
        <f t="shared" ca="1" si="6"/>
        <v>CN</v>
      </c>
      <c r="T194" s="224" t="str">
        <f ca="1">IF(B194="","",IF(ISERROR(MATCH($J194,SorP!$B$1:$B$6230,0)),"",INDIRECT("'SorP'!$A$"&amp;MATCH($J194,SorP!$B$1:$B$6230,0))))</f>
        <v>CN-HN</v>
      </c>
      <c r="U194" s="239"/>
      <c r="V194" s="269">
        <f>IF(C194="",NA(),MATCH($B194&amp;$C194,'Smelter Look-up'!$J:$J,0))</f>
        <v>525</v>
      </c>
      <c r="W194" s="270"/>
      <c r="X194" s="270">
        <f t="shared" si="7"/>
        <v>0</v>
      </c>
      <c r="Y194" s="270"/>
      <c r="Z194" s="270"/>
      <c r="AB194" s="272" t="str">
        <f t="shared" si="8"/>
        <v>TungstenChenzhou Diamond Tungsten Products Co., Ltd.</v>
      </c>
    </row>
    <row r="195" spans="1:28" s="271" customFormat="1" ht="24.75" customHeight="1">
      <c r="A195" s="215" t="s">
        <v>1533</v>
      </c>
      <c r="B195" s="216" t="s">
        <v>1250</v>
      </c>
      <c r="C195" s="220" t="s">
        <v>1532</v>
      </c>
      <c r="D195" s="216"/>
      <c r="E195" s="216" t="s">
        <v>3091</v>
      </c>
      <c r="F195" s="216" t="s">
        <v>1533</v>
      </c>
      <c r="G195" s="216" t="s">
        <v>14357</v>
      </c>
      <c r="H195" s="217">
        <v>0</v>
      </c>
      <c r="I195" s="218" t="s">
        <v>1943</v>
      </c>
      <c r="J195" s="218" t="s">
        <v>1944</v>
      </c>
      <c r="K195" s="267"/>
      <c r="L195" s="267"/>
      <c r="M195" s="267"/>
      <c r="N195" s="267"/>
      <c r="O195" s="267"/>
      <c r="P195" s="219"/>
      <c r="Q195" s="268"/>
      <c r="R195" s="216" t="str">
        <f ca="1">IF(ISERROR($V195),"",OFFSET('Smelter Look-up'!$C$4,$V195-4,0)&amp;"")</f>
        <v>Singway Technology Co., Ltd.</v>
      </c>
      <c r="S195" s="224" t="str">
        <f t="shared" ca="1" si="6"/>
        <v>TW</v>
      </c>
      <c r="T195" s="224" t="str">
        <f ca="1">IF(B195="","",IF(ISERROR(MATCH($J195,SorP!$B$1:$B$6230,0)),"",INDIRECT("'SorP'!$A$"&amp;MATCH($J195,SorP!$B$1:$B$6230,0))))</f>
        <v>TW-TAO</v>
      </c>
      <c r="U195" s="239"/>
      <c r="V195" s="269">
        <f>IF(C195="",NA(),MATCH($B195&amp;$C195,'Smelter Look-up'!$J:$J,0))</f>
        <v>221</v>
      </c>
      <c r="W195" s="270"/>
      <c r="X195" s="270">
        <f t="shared" si="7"/>
        <v>0</v>
      </c>
      <c r="Y195" s="270"/>
      <c r="Z195" s="270"/>
      <c r="AB195" s="272" t="str">
        <f t="shared" si="8"/>
        <v>GoldSingway Technology Co., Ltd.</v>
      </c>
    </row>
    <row r="196" spans="1:28" s="271" customFormat="1" ht="24.75" customHeight="1">
      <c r="A196" s="215" t="s">
        <v>1543</v>
      </c>
      <c r="B196" s="216" t="s">
        <v>1251</v>
      </c>
      <c r="C196" s="220" t="s">
        <v>1542</v>
      </c>
      <c r="D196" s="216"/>
      <c r="E196" s="216" t="s">
        <v>997</v>
      </c>
      <c r="F196" s="216" t="s">
        <v>1543</v>
      </c>
      <c r="G196" s="216" t="s">
        <v>14357</v>
      </c>
      <c r="H196" s="217">
        <v>0</v>
      </c>
      <c r="I196" s="218" t="s">
        <v>14021</v>
      </c>
      <c r="J196" s="218" t="s">
        <v>10321</v>
      </c>
      <c r="K196" s="267"/>
      <c r="L196" s="267"/>
      <c r="M196" s="267"/>
      <c r="N196" s="267"/>
      <c r="O196" s="267"/>
      <c r="P196" s="219"/>
      <c r="Q196" s="268"/>
      <c r="R196" s="216" t="str">
        <f ca="1">IF(ISERROR($V196),"",OFFSET('Smelter Look-up'!$C$4,$V196-4,0)&amp;"")</f>
        <v>O.M. Manufacturing Philippines, Inc.</v>
      </c>
      <c r="S196" s="224" t="str">
        <f t="shared" ca="1" si="6"/>
        <v>PH</v>
      </c>
      <c r="T196" s="224" t="str">
        <f ca="1">IF(B196="","",IF(ISERROR(MATCH($J196,SorP!$B$1:$B$6230,0)),"",INDIRECT("'SorP'!$A$"&amp;MATCH($J196,SorP!$B$1:$B$6230,0))))</f>
        <v>PH-CAV</v>
      </c>
      <c r="U196" s="239"/>
      <c r="V196" s="269">
        <f>IF(C196="",NA(),MATCH($B196&amp;$C196,'Smelter Look-up'!$J:$J,0))</f>
        <v>436</v>
      </c>
      <c r="W196" s="270"/>
      <c r="X196" s="270">
        <f t="shared" si="7"/>
        <v>0</v>
      </c>
      <c r="Y196" s="270"/>
      <c r="Z196" s="270"/>
      <c r="AB196" s="272" t="str">
        <f t="shared" si="8"/>
        <v>TinO.M. Manufacturing Philippines, Inc.</v>
      </c>
    </row>
    <row r="197" spans="1:28" s="271" customFormat="1" ht="24.75" customHeight="1">
      <c r="A197" s="215" t="s">
        <v>1547</v>
      </c>
      <c r="B197" s="216" t="s">
        <v>1251</v>
      </c>
      <c r="C197" s="220" t="s">
        <v>1546</v>
      </c>
      <c r="D197" s="216"/>
      <c r="E197" s="216" t="s">
        <v>1225</v>
      </c>
      <c r="F197" s="216" t="s">
        <v>1547</v>
      </c>
      <c r="G197" s="216" t="s">
        <v>14357</v>
      </c>
      <c r="H197" s="217">
        <v>0</v>
      </c>
      <c r="I197" s="218" t="s">
        <v>2015</v>
      </c>
      <c r="J197" s="218" t="s">
        <v>13917</v>
      </c>
      <c r="K197" s="267"/>
      <c r="L197" s="267"/>
      <c r="M197" s="267"/>
      <c r="N197" s="267"/>
      <c r="O197" s="267"/>
      <c r="P197" s="219"/>
      <c r="Q197" s="268"/>
      <c r="R197" s="216" t="str">
        <f ca="1">IF(ISERROR($V197),"",OFFSET('Smelter Look-up'!$C$4,$V197-4,0)&amp;"")</f>
        <v>PT Inti Stania Prima</v>
      </c>
      <c r="S197" s="224" t="str">
        <f t="shared" ref="S197:S260" ca="1" si="9">IF(B197="","",IF(ISERROR(MATCH($E197,CL,0)),"Unknown",INDIRECT("'C'!$A$"&amp;MATCH($E197,CL,0)+1)))</f>
        <v>ID</v>
      </c>
      <c r="T197" s="224" t="str">
        <f ca="1">IF(B197="","",IF(ISERROR(MATCH($J197,SorP!$B$1:$B$6230,0)),"",INDIRECT("'SorP'!$A$"&amp;MATCH($J197,SorP!$B$1:$B$6230,0))))</f>
        <v>ID-BB</v>
      </c>
      <c r="U197" s="239"/>
      <c r="V197" s="269">
        <f>IF(C197="",NA(),MATCH($B197&amp;$C197,'Smelter Look-up'!$J:$J,0))</f>
        <v>456</v>
      </c>
      <c r="W197" s="270"/>
      <c r="X197" s="270">
        <f t="shared" ref="X197:X260" si="10">IF(AND(C197="Smelter not listed",OR(LEN(D197)=0,LEN(E197)=0)),1,0)</f>
        <v>0</v>
      </c>
      <c r="Y197" s="270"/>
      <c r="Z197" s="270"/>
      <c r="AB197" s="272" t="str">
        <f t="shared" ref="AB197:AB260" si="11">B197&amp;C197</f>
        <v>TinPT Inti Stania Prima</v>
      </c>
    </row>
    <row r="198" spans="1:28" s="271" customFormat="1" ht="24.75" customHeight="1">
      <c r="A198" s="215" t="s">
        <v>1569</v>
      </c>
      <c r="B198" s="216" t="s">
        <v>1252</v>
      </c>
      <c r="C198" s="220" t="s">
        <v>1568</v>
      </c>
      <c r="D198" s="216"/>
      <c r="E198" s="216" t="s">
        <v>1233</v>
      </c>
      <c r="F198" s="216" t="s">
        <v>1569</v>
      </c>
      <c r="G198" s="216" t="s">
        <v>14357</v>
      </c>
      <c r="H198" s="217">
        <v>0</v>
      </c>
      <c r="I198" s="218" t="s">
        <v>1991</v>
      </c>
      <c r="J198" s="218" t="s">
        <v>1992</v>
      </c>
      <c r="K198" s="267"/>
      <c r="L198" s="267"/>
      <c r="M198" s="267"/>
      <c r="N198" s="267"/>
      <c r="O198" s="267"/>
      <c r="P198" s="219"/>
      <c r="Q198" s="268"/>
      <c r="R198" s="216" t="str">
        <f ca="1">IF(ISERROR($V198),"",OFFSET('Smelter Look-up'!$C$4,$V198-4,0)&amp;"")</f>
        <v>KEMET Blue Metals</v>
      </c>
      <c r="S198" s="224" t="str">
        <f t="shared" ca="1" si="9"/>
        <v>MX</v>
      </c>
      <c r="T198" s="224" t="str">
        <f ca="1">IF(B198="","",IF(ISERROR(MATCH($J198,SorP!$B$1:$B$6230,0)),"",INDIRECT("'SorP'!$A$"&amp;MATCH($J198,SorP!$B$1:$B$6230,0))))</f>
        <v>MX-TAM</v>
      </c>
      <c r="U198" s="239"/>
      <c r="V198" s="269">
        <f>IF(C198="",NA(),MATCH($B198&amp;$C198,'Smelter Look-up'!$J:$J,0))</f>
        <v>314</v>
      </c>
      <c r="W198" s="270"/>
      <c r="X198" s="270">
        <f t="shared" si="10"/>
        <v>0</v>
      </c>
      <c r="Y198" s="270"/>
      <c r="Z198" s="270"/>
      <c r="AB198" s="272" t="str">
        <f t="shared" si="11"/>
        <v>TantalumKEMET Blue Metals</v>
      </c>
    </row>
    <row r="199" spans="1:28" s="271" customFormat="1" ht="24.75" customHeight="1">
      <c r="A199" s="215" t="s">
        <v>1571</v>
      </c>
      <c r="B199" s="216" t="s">
        <v>1253</v>
      </c>
      <c r="C199" s="220" t="s">
        <v>3231</v>
      </c>
      <c r="D199" s="216"/>
      <c r="E199" s="216" t="s">
        <v>1221</v>
      </c>
      <c r="F199" s="216" t="s">
        <v>1571</v>
      </c>
      <c r="G199" s="216" t="s">
        <v>14357</v>
      </c>
      <c r="H199" s="217"/>
      <c r="I199" s="218" t="s">
        <v>1995</v>
      </c>
      <c r="J199" s="218" t="s">
        <v>4946</v>
      </c>
      <c r="K199" s="267"/>
      <c r="L199" s="267"/>
      <c r="M199" s="267"/>
      <c r="N199" s="267"/>
      <c r="O199" s="267"/>
      <c r="P199" s="219"/>
      <c r="Q199" s="268"/>
      <c r="R199" s="216" t="str">
        <f ca="1">IF(ISERROR($V199),"",OFFSET('Smelter Look-up'!$C$4,$V199-4,0)&amp;"")</f>
        <v>H.C. Starck Tungsten GmbH</v>
      </c>
      <c r="S199" s="224" t="str">
        <f t="shared" ca="1" si="9"/>
        <v>DE</v>
      </c>
      <c r="T199" s="224" t="str">
        <f ca="1">IF(B199="","",IF(ISERROR(MATCH($J199,SorP!$B$1:$B$6230,0)),"",INDIRECT("'SorP'!$A$"&amp;MATCH($J199,SorP!$B$1:$B$6230,0))))</f>
        <v>DE-NI</v>
      </c>
      <c r="U199" s="239"/>
      <c r="V199" s="269">
        <f>IF(C199="",NA(),MATCH($B199&amp;$C199,'Smelter Look-up'!$J:$J,0))</f>
        <v>541</v>
      </c>
      <c r="W199" s="270"/>
      <c r="X199" s="270">
        <f t="shared" si="10"/>
        <v>0</v>
      </c>
      <c r="Y199" s="270"/>
      <c r="Z199" s="270"/>
      <c r="AB199" s="272" t="str">
        <f t="shared" si="11"/>
        <v>TungstenH.C. Starck Tungsten GmbH</v>
      </c>
    </row>
    <row r="200" spans="1:28" s="271" customFormat="1" ht="24.75" customHeight="1">
      <c r="A200" s="215" t="s">
        <v>1572</v>
      </c>
      <c r="B200" s="216" t="s">
        <v>1253</v>
      </c>
      <c r="C200" s="220" t="s">
        <v>2961</v>
      </c>
      <c r="D200" s="216"/>
      <c r="E200" s="216" t="s">
        <v>1221</v>
      </c>
      <c r="F200" s="216" t="s">
        <v>1572</v>
      </c>
      <c r="G200" s="216" t="s">
        <v>14357</v>
      </c>
      <c r="H200" s="217">
        <v>0</v>
      </c>
      <c r="I200" s="218" t="s">
        <v>1996</v>
      </c>
      <c r="J200" s="218" t="s">
        <v>1780</v>
      </c>
      <c r="K200" s="267"/>
      <c r="L200" s="267"/>
      <c r="M200" s="267"/>
      <c r="N200" s="267"/>
      <c r="O200" s="267"/>
      <c r="P200" s="219"/>
      <c r="Q200" s="268"/>
      <c r="R200" s="216" t="str">
        <f ca="1">IF(ISERROR($V200),"",OFFSET('Smelter Look-up'!$C$4,$V200-4,0)&amp;"")</f>
        <v>H.C. Starck Smelting GmbH &amp; Co. KG</v>
      </c>
      <c r="S200" s="224" t="str">
        <f t="shared" ca="1" si="9"/>
        <v>DE</v>
      </c>
      <c r="T200" s="224" t="str">
        <f ca="1">IF(B200="","",IF(ISERROR(MATCH($J200,SorP!$B$1:$B$6230,0)),"",INDIRECT("'SorP'!$A$"&amp;MATCH($J200,SorP!$B$1:$B$6230,0))))</f>
        <v>DE-BW</v>
      </c>
      <c r="U200" s="239"/>
      <c r="V200" s="269">
        <f>IF(C200="",NA(),MATCH($B200&amp;$C200,'Smelter Look-up'!$J:$J,0))</f>
        <v>540</v>
      </c>
      <c r="W200" s="270"/>
      <c r="X200" s="270">
        <f t="shared" si="10"/>
        <v>0</v>
      </c>
      <c r="Y200" s="270"/>
      <c r="Z200" s="270"/>
      <c r="AB200" s="272" t="str">
        <f t="shared" si="11"/>
        <v>TungstenH.C. Starck Smelting GmbH &amp; Co. KG</v>
      </c>
    </row>
    <row r="201" spans="1:28" s="271" customFormat="1" ht="24.75" customHeight="1">
      <c r="A201" s="215" t="s">
        <v>1575</v>
      </c>
      <c r="B201" s="216" t="s">
        <v>1253</v>
      </c>
      <c r="C201" s="220" t="s">
        <v>15451</v>
      </c>
      <c r="D201" s="216"/>
      <c r="E201" s="216" t="s">
        <v>1008</v>
      </c>
      <c r="F201" s="216" t="s">
        <v>1575</v>
      </c>
      <c r="G201" s="216" t="s">
        <v>14357</v>
      </c>
      <c r="H201" s="217">
        <v>0</v>
      </c>
      <c r="I201" s="218" t="s">
        <v>2102</v>
      </c>
      <c r="J201" s="218" t="s">
        <v>13006</v>
      </c>
      <c r="K201" s="267"/>
      <c r="L201" s="267"/>
      <c r="M201" s="267"/>
      <c r="N201" s="267"/>
      <c r="O201" s="267"/>
      <c r="P201" s="219"/>
      <c r="Q201" s="268"/>
      <c r="R201" s="216" t="str">
        <f ca="1">IF(ISERROR($V201),"",OFFSET('Smelter Look-up'!$C$4,$V201-4,0)&amp;"")</f>
        <v>Masan Tungsten Chemical LLC (MTC)</v>
      </c>
      <c r="S201" s="224" t="str">
        <f t="shared" ca="1" si="9"/>
        <v>VN</v>
      </c>
      <c r="T201" s="224" t="str">
        <f ca="1">IF(B201="","",IF(ISERROR(MATCH($J201,SorP!$B$1:$B$6230,0)),"",INDIRECT("'SorP'!$A$"&amp;MATCH($J201,SorP!$B$1:$B$6230,0))))</f>
        <v>VN-69</v>
      </c>
      <c r="U201" s="239"/>
      <c r="V201" s="269">
        <f>IF(C201="",NA(),MATCH($B201&amp;$C201,'Smelter Look-up'!$J:$J,0))</f>
        <v>566</v>
      </c>
      <c r="W201" s="270"/>
      <c r="X201" s="270">
        <f t="shared" si="10"/>
        <v>0</v>
      </c>
      <c r="Y201" s="270"/>
      <c r="Z201" s="270"/>
      <c r="AB201" s="272" t="str">
        <f t="shared" si="11"/>
        <v>TungstenMasan Tungsten Chemical LLC (MTC)</v>
      </c>
    </row>
    <row r="202" spans="1:28" s="271" customFormat="1" ht="24.75" customHeight="1">
      <c r="A202" s="215" t="s">
        <v>1559</v>
      </c>
      <c r="B202" s="216" t="s">
        <v>1252</v>
      </c>
      <c r="C202" s="220" t="s">
        <v>1558</v>
      </c>
      <c r="D202" s="216"/>
      <c r="E202" s="216" t="s">
        <v>1004</v>
      </c>
      <c r="F202" s="216" t="s">
        <v>1559</v>
      </c>
      <c r="G202" s="216" t="s">
        <v>14357</v>
      </c>
      <c r="H202" s="217">
        <v>0</v>
      </c>
      <c r="I202" s="218" t="s">
        <v>1993</v>
      </c>
      <c r="J202" s="218" t="s">
        <v>1994</v>
      </c>
      <c r="K202" s="267"/>
      <c r="L202" s="267"/>
      <c r="M202" s="267"/>
      <c r="N202" s="267"/>
      <c r="O202" s="267"/>
      <c r="P202" s="219"/>
      <c r="Q202" s="268"/>
      <c r="R202" s="216" t="str">
        <f ca="1">IF(ISERROR($V202),"",OFFSET('Smelter Look-up'!$C$4,$V202-4,0)&amp;"")</f>
        <v>H.C. Starck Co., Ltd.</v>
      </c>
      <c r="S202" s="224" t="str">
        <f t="shared" ca="1" si="9"/>
        <v>TH</v>
      </c>
      <c r="T202" s="224" t="str">
        <f ca="1">IF(B202="","",IF(ISERROR(MATCH($J202,SorP!$B$1:$B$6230,0)),"",INDIRECT("'SorP'!$A$"&amp;MATCH($J202,SorP!$B$1:$B$6230,0))))</f>
        <v>TH-21</v>
      </c>
      <c r="U202" s="239"/>
      <c r="V202" s="269">
        <f>IF(C202="",NA(),MATCH($B202&amp;$C202,'Smelter Look-up'!$J:$J,0))</f>
        <v>300</v>
      </c>
      <c r="W202" s="270"/>
      <c r="X202" s="270">
        <f t="shared" si="10"/>
        <v>0</v>
      </c>
      <c r="Y202" s="270"/>
      <c r="Z202" s="270"/>
      <c r="AB202" s="272" t="str">
        <f t="shared" si="11"/>
        <v>TantalumH.C. Starck Co., Ltd.</v>
      </c>
    </row>
    <row r="203" spans="1:28" s="271" customFormat="1" ht="24.75" customHeight="1">
      <c r="A203" s="215" t="s">
        <v>1560</v>
      </c>
      <c r="B203" s="216" t="s">
        <v>1252</v>
      </c>
      <c r="C203" s="220" t="s">
        <v>3219</v>
      </c>
      <c r="D203" s="216"/>
      <c r="E203" s="216" t="s">
        <v>1221</v>
      </c>
      <c r="F203" s="216" t="s">
        <v>1560</v>
      </c>
      <c r="G203" s="216" t="s">
        <v>14357</v>
      </c>
      <c r="H203" s="217">
        <v>0</v>
      </c>
      <c r="I203" s="218" t="s">
        <v>1995</v>
      </c>
      <c r="J203" s="218" t="s">
        <v>4946</v>
      </c>
      <c r="K203" s="267"/>
      <c r="L203" s="267"/>
      <c r="M203" s="267"/>
      <c r="N203" s="267"/>
      <c r="O203" s="267"/>
      <c r="P203" s="219"/>
      <c r="Q203" s="268"/>
      <c r="R203" s="216" t="str">
        <f ca="1">IF(ISERROR($V203),"",OFFSET('Smelter Look-up'!$C$4,$V203-4,0)&amp;"")</f>
        <v>H.C. Starck Tantalum and Niobium GmbH</v>
      </c>
      <c r="S203" s="224" t="str">
        <f t="shared" ca="1" si="9"/>
        <v>DE</v>
      </c>
      <c r="T203" s="224" t="str">
        <f ca="1">IF(B203="","",IF(ISERROR(MATCH($J203,SorP!$B$1:$B$6230,0)),"",INDIRECT("'SorP'!$A$"&amp;MATCH($J203,SorP!$B$1:$B$6230,0))))</f>
        <v>DE-NI</v>
      </c>
      <c r="U203" s="239"/>
      <c r="V203" s="269">
        <f>IF(C203="",NA(),MATCH($B203&amp;$C203,'Smelter Look-up'!$J:$J,0))</f>
        <v>305</v>
      </c>
      <c r="W203" s="270"/>
      <c r="X203" s="270">
        <f t="shared" si="10"/>
        <v>0</v>
      </c>
      <c r="Y203" s="270"/>
      <c r="Z203" s="270"/>
      <c r="AB203" s="272" t="str">
        <f t="shared" si="11"/>
        <v>TantalumH.C. Starck Tantalum and Niobium GmbH</v>
      </c>
    </row>
    <row r="204" spans="1:28" s="271" customFormat="1" ht="24.75" customHeight="1">
      <c r="A204" s="215" t="s">
        <v>1562</v>
      </c>
      <c r="B204" s="216" t="s">
        <v>1252</v>
      </c>
      <c r="C204" s="220" t="s">
        <v>1561</v>
      </c>
      <c r="D204" s="216"/>
      <c r="E204" s="216" t="s">
        <v>1221</v>
      </c>
      <c r="F204" s="216" t="s">
        <v>1562</v>
      </c>
      <c r="G204" s="216" t="s">
        <v>14357</v>
      </c>
      <c r="H204" s="217">
        <v>0</v>
      </c>
      <c r="I204" s="218" t="s">
        <v>1997</v>
      </c>
      <c r="J204" s="218" t="s">
        <v>4924</v>
      </c>
      <c r="K204" s="267"/>
      <c r="L204" s="267"/>
      <c r="M204" s="267"/>
      <c r="N204" s="267"/>
      <c r="O204" s="267"/>
      <c r="P204" s="219"/>
      <c r="Q204" s="268"/>
      <c r="R204" s="216" t="str">
        <f ca="1">IF(ISERROR($V204),"",OFFSET('Smelter Look-up'!$C$4,$V204-4,0)&amp;"")</f>
        <v>H.C. Starck Hermsdorf GmbH</v>
      </c>
      <c r="S204" s="224" t="str">
        <f t="shared" ca="1" si="9"/>
        <v>DE</v>
      </c>
      <c r="T204" s="224" t="str">
        <f ca="1">IF(B204="","",IF(ISERROR(MATCH($J204,SorP!$B$1:$B$6230,0)),"",INDIRECT("'SorP'!$A$"&amp;MATCH($J204,SorP!$B$1:$B$6230,0))))</f>
        <v>DE-TH</v>
      </c>
      <c r="U204" s="239"/>
      <c r="V204" s="269">
        <f>IF(C204="",NA(),MATCH($B204&amp;$C204,'Smelter Look-up'!$J:$J,0))</f>
        <v>301</v>
      </c>
      <c r="W204" s="270"/>
      <c r="X204" s="270">
        <f t="shared" si="10"/>
        <v>0</v>
      </c>
      <c r="Y204" s="270"/>
      <c r="Z204" s="270"/>
      <c r="AB204" s="272" t="str">
        <f t="shared" si="11"/>
        <v>TantalumH.C. Starck Hermsdorf GmbH</v>
      </c>
    </row>
    <row r="205" spans="1:28" s="271" customFormat="1" ht="24.75" customHeight="1">
      <c r="A205" s="215" t="s">
        <v>1564</v>
      </c>
      <c r="B205" s="216" t="s">
        <v>1252</v>
      </c>
      <c r="C205" s="220" t="s">
        <v>1563</v>
      </c>
      <c r="D205" s="216"/>
      <c r="E205" s="216" t="s">
        <v>3092</v>
      </c>
      <c r="F205" s="216" t="s">
        <v>1564</v>
      </c>
      <c r="G205" s="216" t="s">
        <v>14357</v>
      </c>
      <c r="H205" s="217">
        <v>0</v>
      </c>
      <c r="I205" s="218" t="s">
        <v>1998</v>
      </c>
      <c r="J205" s="218" t="s">
        <v>1863</v>
      </c>
      <c r="K205" s="267"/>
      <c r="L205" s="267"/>
      <c r="M205" s="267"/>
      <c r="N205" s="267"/>
      <c r="O205" s="267"/>
      <c r="P205" s="219"/>
      <c r="Q205" s="268"/>
      <c r="R205" s="216" t="str">
        <f ca="1">IF(ISERROR($V205),"",OFFSET('Smelter Look-up'!$C$4,$V205-4,0)&amp;"")</f>
        <v>H.C. Starck Inc.</v>
      </c>
      <c r="S205" s="224" t="str">
        <f t="shared" ca="1" si="9"/>
        <v>US</v>
      </c>
      <c r="T205" s="224" t="str">
        <f ca="1">IF(B205="","",IF(ISERROR(MATCH($J205,SorP!$B$1:$B$6230,0)),"",INDIRECT("'SorP'!$A$"&amp;MATCH($J205,SorP!$B$1:$B$6230,0))))</f>
        <v>US-MA</v>
      </c>
      <c r="U205" s="239"/>
      <c r="V205" s="269">
        <f>IF(C205="",NA(),MATCH($B205&amp;$C205,'Smelter Look-up'!$J:$J,0))</f>
        <v>302</v>
      </c>
      <c r="W205" s="270"/>
      <c r="X205" s="270">
        <f t="shared" si="10"/>
        <v>0</v>
      </c>
      <c r="Y205" s="270"/>
      <c r="Z205" s="270"/>
      <c r="AB205" s="272" t="str">
        <f t="shared" si="11"/>
        <v>TantalumH.C. Starck Inc.</v>
      </c>
    </row>
    <row r="206" spans="1:28" s="271" customFormat="1" ht="24.75" customHeight="1">
      <c r="A206" s="215" t="s">
        <v>1566</v>
      </c>
      <c r="B206" s="216" t="s">
        <v>1252</v>
      </c>
      <c r="C206" s="220" t="s">
        <v>1565</v>
      </c>
      <c r="D206" s="216"/>
      <c r="E206" s="216" t="s">
        <v>1228</v>
      </c>
      <c r="F206" s="216" t="s">
        <v>1566</v>
      </c>
      <c r="G206" s="216" t="s">
        <v>14357</v>
      </c>
      <c r="H206" s="217">
        <v>0</v>
      </c>
      <c r="I206" s="218" t="s">
        <v>1999</v>
      </c>
      <c r="J206" s="218" t="s">
        <v>2000</v>
      </c>
      <c r="K206" s="267"/>
      <c r="L206" s="267"/>
      <c r="M206" s="267"/>
      <c r="N206" s="267"/>
      <c r="O206" s="267"/>
      <c r="P206" s="219"/>
      <c r="Q206" s="268"/>
      <c r="R206" s="216" t="str">
        <f ca="1">IF(ISERROR($V206),"",OFFSET('Smelter Look-up'!$C$4,$V206-4,0)&amp;"")</f>
        <v>H.C. Starck Ltd.</v>
      </c>
      <c r="S206" s="224" t="str">
        <f t="shared" ca="1" si="9"/>
        <v>JP</v>
      </c>
      <c r="T206" s="224" t="str">
        <f ca="1">IF(B206="","",IF(ISERROR(MATCH($J206,SorP!$B$1:$B$6230,0)),"",INDIRECT("'SorP'!$A$"&amp;MATCH($J206,SorP!$B$1:$B$6230,0))))</f>
        <v>JP-08</v>
      </c>
      <c r="U206" s="239"/>
      <c r="V206" s="269">
        <f>IF(C206="",NA(),MATCH($B206&amp;$C206,'Smelter Look-up'!$J:$J,0))</f>
        <v>303</v>
      </c>
      <c r="W206" s="270"/>
      <c r="X206" s="270">
        <f t="shared" si="10"/>
        <v>0</v>
      </c>
      <c r="Y206" s="270"/>
      <c r="Z206" s="270"/>
      <c r="AB206" s="272" t="str">
        <f t="shared" si="11"/>
        <v>TantalumH.C. Starck Ltd.</v>
      </c>
    </row>
    <row r="207" spans="1:28" s="271" customFormat="1" ht="24.75" customHeight="1">
      <c r="A207" s="215" t="s">
        <v>1567</v>
      </c>
      <c r="B207" s="216" t="s">
        <v>1252</v>
      </c>
      <c r="C207" s="220" t="s">
        <v>2961</v>
      </c>
      <c r="D207" s="216"/>
      <c r="E207" s="216" t="s">
        <v>1221</v>
      </c>
      <c r="F207" s="216" t="s">
        <v>1567</v>
      </c>
      <c r="G207" s="216" t="s">
        <v>14357</v>
      </c>
      <c r="H207" s="217">
        <v>0</v>
      </c>
      <c r="I207" s="218" t="s">
        <v>1996</v>
      </c>
      <c r="J207" s="218" t="s">
        <v>1780</v>
      </c>
      <c r="K207" s="267"/>
      <c r="L207" s="267"/>
      <c r="M207" s="267"/>
      <c r="N207" s="267"/>
      <c r="O207" s="267"/>
      <c r="P207" s="219"/>
      <c r="Q207" s="268"/>
      <c r="R207" s="216" t="str">
        <f ca="1">IF(ISERROR($V207),"",OFFSET('Smelter Look-up'!$C$4,$V207-4,0)&amp;"")</f>
        <v>H.C. Starck Smelting GmbH &amp; Co. KG</v>
      </c>
      <c r="S207" s="224" t="str">
        <f t="shared" ca="1" si="9"/>
        <v>DE</v>
      </c>
      <c r="T207" s="224" t="str">
        <f ca="1">IF(B207="","",IF(ISERROR(MATCH($J207,SorP!$B$1:$B$6230,0)),"",INDIRECT("'SorP'!$A$"&amp;MATCH($J207,SorP!$B$1:$B$6230,0))))</f>
        <v>DE-BW</v>
      </c>
      <c r="U207" s="239"/>
      <c r="V207" s="269">
        <f>IF(C207="",NA(),MATCH($B207&amp;$C207,'Smelter Look-up'!$J:$J,0))</f>
        <v>304</v>
      </c>
      <c r="W207" s="270"/>
      <c r="X207" s="270">
        <f t="shared" si="10"/>
        <v>0</v>
      </c>
      <c r="Y207" s="270"/>
      <c r="Z207" s="270"/>
      <c r="AB207" s="272" t="str">
        <f t="shared" si="11"/>
        <v>TantalumH.C. Starck Smelting GmbH &amp; Co. KG</v>
      </c>
    </row>
    <row r="208" spans="1:28" s="271" customFormat="1" ht="24.75" customHeight="1">
      <c r="A208" s="215" t="s">
        <v>1574</v>
      </c>
      <c r="B208" s="216" t="s">
        <v>1253</v>
      </c>
      <c r="C208" s="220" t="s">
        <v>1573</v>
      </c>
      <c r="D208" s="216"/>
      <c r="E208" s="216" t="s">
        <v>1220</v>
      </c>
      <c r="F208" s="216" t="s">
        <v>1574</v>
      </c>
      <c r="G208" s="216" t="s">
        <v>14357</v>
      </c>
      <c r="H208" s="217">
        <v>0</v>
      </c>
      <c r="I208" s="218" t="s">
        <v>2024</v>
      </c>
      <c r="J208" s="218" t="s">
        <v>15233</v>
      </c>
      <c r="K208" s="267"/>
      <c r="L208" s="267"/>
      <c r="M208" s="267"/>
      <c r="N208" s="267"/>
      <c r="O208" s="267"/>
      <c r="P208" s="219"/>
      <c r="Q208" s="268"/>
      <c r="R208" s="216" t="str">
        <f ca="1">IF(ISERROR($V208),"",OFFSET('Smelter Look-up'!$C$4,$V208-4,0)&amp;"")</f>
        <v>Jiangwu H.C. Starck Tungsten Products Co., Ltd.</v>
      </c>
      <c r="S208" s="224" t="str">
        <f t="shared" ca="1" si="9"/>
        <v>CN</v>
      </c>
      <c r="T208" s="224" t="str">
        <f ca="1">IF(B208="","",IF(ISERROR(MATCH($J208,SorP!$B$1:$B$6230,0)),"",INDIRECT("'SorP'!$A$"&amp;MATCH($J208,SorP!$B$1:$B$6230,0))))</f>
        <v>CN-JX</v>
      </c>
      <c r="U208" s="239"/>
      <c r="V208" s="269">
        <f>IF(C208="",NA(),MATCH($B208&amp;$C208,'Smelter Look-up'!$J:$J,0))</f>
        <v>551</v>
      </c>
      <c r="W208" s="270"/>
      <c r="X208" s="270">
        <f t="shared" si="10"/>
        <v>0</v>
      </c>
      <c r="Y208" s="270"/>
      <c r="Z208" s="270"/>
      <c r="AB208" s="272" t="str">
        <f t="shared" si="11"/>
        <v>TungstenJiangwu H.C. Starck Tungsten Products Co., Ltd.</v>
      </c>
    </row>
    <row r="209" spans="1:28" s="271" customFormat="1" ht="34.5" customHeight="1">
      <c r="A209" s="215" t="s">
        <v>1557</v>
      </c>
      <c r="B209" s="216" t="s">
        <v>1252</v>
      </c>
      <c r="C209" s="220" t="s">
        <v>1556</v>
      </c>
      <c r="D209" s="216"/>
      <c r="E209" s="216" t="s">
        <v>3092</v>
      </c>
      <c r="F209" s="216" t="s">
        <v>1557</v>
      </c>
      <c r="G209" s="216" t="s">
        <v>14357</v>
      </c>
      <c r="H209" s="217">
        <v>0</v>
      </c>
      <c r="I209" s="218" t="s">
        <v>2001</v>
      </c>
      <c r="J209" s="218" t="s">
        <v>1983</v>
      </c>
      <c r="K209" s="267"/>
      <c r="L209" s="267"/>
      <c r="M209" s="267"/>
      <c r="N209" s="267"/>
      <c r="O209" s="267"/>
      <c r="P209" s="219"/>
      <c r="Q209" s="268"/>
      <c r="R209" s="216" t="str">
        <f ca="1">IF(ISERROR($V209),"",OFFSET('Smelter Look-up'!$C$4,$V209-4,0)&amp;"")</f>
        <v>Global Advanced Metals Boyertown</v>
      </c>
      <c r="S209" s="224" t="str">
        <f t="shared" ca="1" si="9"/>
        <v>US</v>
      </c>
      <c r="T209" s="224" t="str">
        <f ca="1">IF(B209="","",IF(ISERROR(MATCH($J209,SorP!$B$1:$B$6230,0)),"",INDIRECT("'SorP'!$A$"&amp;MATCH($J209,SorP!$B$1:$B$6230,0))))</f>
        <v>US-PA</v>
      </c>
      <c r="U209" s="239"/>
      <c r="V209" s="269">
        <f>IF(C209="",NA(),MATCH($B209&amp;$C209,'Smelter Look-up'!$J:$J,0))</f>
        <v>297</v>
      </c>
      <c r="W209" s="270"/>
      <c r="X209" s="270">
        <f t="shared" si="10"/>
        <v>0</v>
      </c>
      <c r="Y209" s="270"/>
      <c r="Z209" s="270"/>
      <c r="AB209" s="272" t="str">
        <f t="shared" si="11"/>
        <v>TantalumGlobal Advanced Metals Boyertown</v>
      </c>
    </row>
    <row r="210" spans="1:28" s="271" customFormat="1" ht="34.5" customHeight="1">
      <c r="A210" s="215" t="s">
        <v>1555</v>
      </c>
      <c r="B210" s="216" t="s">
        <v>1252</v>
      </c>
      <c r="C210" s="220" t="s">
        <v>1554</v>
      </c>
      <c r="D210" s="216"/>
      <c r="E210" s="216" t="s">
        <v>1228</v>
      </c>
      <c r="F210" s="216" t="s">
        <v>1555</v>
      </c>
      <c r="G210" s="216" t="s">
        <v>14357</v>
      </c>
      <c r="H210" s="217">
        <v>0</v>
      </c>
      <c r="I210" s="218" t="s">
        <v>2002</v>
      </c>
      <c r="J210" s="218" t="s">
        <v>1791</v>
      </c>
      <c r="K210" s="267"/>
      <c r="L210" s="267"/>
      <c r="M210" s="267"/>
      <c r="N210" s="267"/>
      <c r="O210" s="267"/>
      <c r="P210" s="219"/>
      <c r="Q210" s="268"/>
      <c r="R210" s="216" t="str">
        <f ca="1">IF(ISERROR($V210),"",OFFSET('Smelter Look-up'!$C$4,$V210-4,0)&amp;"")</f>
        <v>Global Advanced Metals Aizu</v>
      </c>
      <c r="S210" s="224" t="str">
        <f t="shared" ca="1" si="9"/>
        <v>JP</v>
      </c>
      <c r="T210" s="224" t="str">
        <f ca="1">IF(B210="","",IF(ISERROR(MATCH($J210,SorP!$B$1:$B$6230,0)),"",INDIRECT("'SorP'!$A$"&amp;MATCH($J210,SorP!$B$1:$B$6230,0))))</f>
        <v>JP-07</v>
      </c>
      <c r="U210" s="239"/>
      <c r="V210" s="269">
        <f>IF(C210="",NA(),MATCH($B210&amp;$C210,'Smelter Look-up'!$J:$J,0))</f>
        <v>296</v>
      </c>
      <c r="W210" s="270"/>
      <c r="X210" s="270">
        <f t="shared" si="10"/>
        <v>0</v>
      </c>
      <c r="Y210" s="270"/>
      <c r="Z210" s="270"/>
      <c r="AB210" s="272" t="str">
        <f t="shared" si="11"/>
        <v>TantalumGlobal Advanced Metals Aizu</v>
      </c>
    </row>
    <row r="211" spans="1:28" s="271" customFormat="1" ht="34.5" customHeight="1">
      <c r="A211" s="215" t="s">
        <v>1949</v>
      </c>
      <c r="B211" s="216" t="s">
        <v>1250</v>
      </c>
      <c r="C211" s="220" t="s">
        <v>1948</v>
      </c>
      <c r="D211" s="216"/>
      <c r="E211" s="216" t="s">
        <v>1212</v>
      </c>
      <c r="F211" s="216" t="s">
        <v>1949</v>
      </c>
      <c r="G211" s="216" t="s">
        <v>14357</v>
      </c>
      <c r="H211" s="217">
        <v>0</v>
      </c>
      <c r="I211" s="218" t="s">
        <v>1947</v>
      </c>
      <c r="J211" s="218" t="s">
        <v>3272</v>
      </c>
      <c r="K211" s="267"/>
      <c r="L211" s="267"/>
      <c r="M211" s="267"/>
      <c r="N211" s="267"/>
      <c r="O211" s="267"/>
      <c r="P211" s="219"/>
      <c r="Q211" s="268"/>
      <c r="R211" s="216" t="str">
        <f ca="1">IF(ISERROR($V211),"",OFFSET('Smelter Look-up'!$C$4,$V211-4,0)&amp;"")</f>
        <v>Emirates Gold DMCC</v>
      </c>
      <c r="S211" s="224" t="str">
        <f t="shared" ca="1" si="9"/>
        <v>AE</v>
      </c>
      <c r="T211" s="224" t="str">
        <f ca="1">IF(B211="","",IF(ISERROR(MATCH($J211,SorP!$B$1:$B$6230,0)),"",INDIRECT("'SorP'!$A$"&amp;MATCH($J211,SorP!$B$1:$B$6230,0))))</f>
        <v>AE-DU</v>
      </c>
      <c r="U211" s="239"/>
      <c r="V211" s="269">
        <f>IF(C211="",NA(),MATCH($B211&amp;$C211,'Smelter Look-up'!$J:$J,0))</f>
        <v>68</v>
      </c>
      <c r="W211" s="270"/>
      <c r="X211" s="270">
        <f t="shared" si="10"/>
        <v>0</v>
      </c>
      <c r="Y211" s="270"/>
      <c r="Z211" s="270"/>
      <c r="AB211" s="272" t="str">
        <f t="shared" si="11"/>
        <v>GoldEmirates Gold DMCC</v>
      </c>
    </row>
    <row r="212" spans="1:28" s="271" customFormat="1" ht="31.5" customHeight="1">
      <c r="A212" s="215" t="s">
        <v>1580</v>
      </c>
      <c r="B212" s="216" t="s">
        <v>1252</v>
      </c>
      <c r="C212" s="220" t="s">
        <v>1579</v>
      </c>
      <c r="D212" s="216"/>
      <c r="E212" s="216" t="s">
        <v>3092</v>
      </c>
      <c r="F212" s="216" t="s">
        <v>1580</v>
      </c>
      <c r="G212" s="216" t="s">
        <v>14357</v>
      </c>
      <c r="H212" s="217">
        <v>0</v>
      </c>
      <c r="I212" s="218" t="s">
        <v>2003</v>
      </c>
      <c r="J212" s="218" t="s">
        <v>2004</v>
      </c>
      <c r="K212" s="267"/>
      <c r="L212" s="267"/>
      <c r="M212" s="267"/>
      <c r="N212" s="267"/>
      <c r="O212" s="267"/>
      <c r="P212" s="219"/>
      <c r="Q212" s="268"/>
      <c r="R212" s="216" t="str">
        <f ca="1">IF(ISERROR($V212),"",OFFSET('Smelter Look-up'!$C$4,$V212-4,0)&amp;"")</f>
        <v>KEMET Blue Powder</v>
      </c>
      <c r="S212" s="224" t="str">
        <f t="shared" ca="1" si="9"/>
        <v>US</v>
      </c>
      <c r="T212" s="224" t="str">
        <f ca="1">IF(B212="","",IF(ISERROR(MATCH($J212,SorP!$B$1:$B$6230,0)),"",INDIRECT("'SorP'!$A$"&amp;MATCH($J212,SorP!$B$1:$B$6230,0))))</f>
        <v>US-NV</v>
      </c>
      <c r="U212" s="239"/>
      <c r="V212" s="269">
        <f>IF(C212="",NA(),MATCH($B212&amp;$C212,'Smelter Look-up'!$J:$J,0))</f>
        <v>315</v>
      </c>
      <c r="W212" s="270"/>
      <c r="X212" s="270">
        <f t="shared" si="10"/>
        <v>0</v>
      </c>
      <c r="Y212" s="270"/>
      <c r="Z212" s="270"/>
      <c r="AB212" s="272" t="str">
        <f t="shared" si="11"/>
        <v>TantalumKEMET Blue Powder</v>
      </c>
    </row>
    <row r="213" spans="1:28" s="271" customFormat="1" ht="27" customHeight="1">
      <c r="A213" s="215" t="s">
        <v>2062</v>
      </c>
      <c r="B213" s="216" t="s">
        <v>1251</v>
      </c>
      <c r="C213" s="220" t="s">
        <v>2061</v>
      </c>
      <c r="D213" s="216"/>
      <c r="E213" s="216" t="s">
        <v>1225</v>
      </c>
      <c r="F213" s="216" t="s">
        <v>2062</v>
      </c>
      <c r="G213" s="216" t="s">
        <v>14357</v>
      </c>
      <c r="H213" s="217">
        <v>0</v>
      </c>
      <c r="I213" s="218" t="s">
        <v>2015</v>
      </c>
      <c r="J213" s="218" t="s">
        <v>13917</v>
      </c>
      <c r="K213" s="267"/>
      <c r="L213" s="267"/>
      <c r="M213" s="267"/>
      <c r="N213" s="267"/>
      <c r="O213" s="267"/>
      <c r="P213" s="219"/>
      <c r="Q213" s="268"/>
      <c r="R213" s="216" t="str">
        <f ca="1">IF(ISERROR($V213),"",OFFSET('Smelter Look-up'!$C$4,$V213-4,0)&amp;"")</f>
        <v>CV Ayi Jaya</v>
      </c>
      <c r="S213" s="224" t="str">
        <f t="shared" ca="1" si="9"/>
        <v>ID</v>
      </c>
      <c r="T213" s="224" t="str">
        <f ca="1">IF(B213="","",IF(ISERROR(MATCH($J213,SorP!$B$1:$B$6230,0)),"",INDIRECT("'SorP'!$A$"&amp;MATCH($J213,SorP!$B$1:$B$6230,0))))</f>
        <v>ID-BB</v>
      </c>
      <c r="U213" s="239"/>
      <c r="V213" s="269">
        <f>IF(C213="",NA(),MATCH($B213&amp;$C213,'Smelter Look-up'!$J:$J,0))</f>
        <v>368</v>
      </c>
      <c r="W213" s="270"/>
      <c r="X213" s="270">
        <f t="shared" si="10"/>
        <v>0</v>
      </c>
      <c r="Y213" s="270"/>
      <c r="Z213" s="270"/>
      <c r="AB213" s="272" t="str">
        <f t="shared" si="11"/>
        <v>TinCV Ayi Jaya</v>
      </c>
    </row>
    <row r="214" spans="1:28" s="271" customFormat="1" ht="34.5" customHeight="1">
      <c r="A214" s="215" t="s">
        <v>2104</v>
      </c>
      <c r="B214" s="216" t="s">
        <v>1253</v>
      </c>
      <c r="C214" s="220" t="s">
        <v>2103</v>
      </c>
      <c r="D214" s="216"/>
      <c r="E214" s="216" t="s">
        <v>1220</v>
      </c>
      <c r="F214" s="216" t="s">
        <v>2104</v>
      </c>
      <c r="G214" s="216" t="s">
        <v>14357</v>
      </c>
      <c r="H214" s="217">
        <v>0</v>
      </c>
      <c r="I214" s="218" t="s">
        <v>1986</v>
      </c>
      <c r="J214" s="218" t="s">
        <v>15237</v>
      </c>
      <c r="K214" s="267"/>
      <c r="L214" s="267"/>
      <c r="M214" s="267"/>
      <c r="N214" s="267"/>
      <c r="O214" s="267"/>
      <c r="P214" s="219"/>
      <c r="Q214" s="268"/>
      <c r="R214" s="216" t="str">
        <f ca="1">IF(ISERROR($V214),"",OFFSET('Smelter Look-up'!$C$4,$V214-4,0)&amp;"")</f>
        <v>Hunan Chuangda Vanadium Tungsten Co., Ltd. Wuji</v>
      </c>
      <c r="S214" s="224" t="str">
        <f t="shared" ca="1" si="9"/>
        <v>CN</v>
      </c>
      <c r="T214" s="224" t="str">
        <f ca="1">IF(B214="","",IF(ISERROR(MATCH($J214,SorP!$B$1:$B$6230,0)),"",INDIRECT("'SorP'!$A$"&amp;MATCH($J214,SorP!$B$1:$B$6230,0))))</f>
        <v>CN-HN</v>
      </c>
      <c r="U214" s="239"/>
      <c r="V214" s="269">
        <f>IF(C214="",NA(),MATCH($B214&amp;$C214,'Smelter Look-up'!$J:$J,0))</f>
        <v>546</v>
      </c>
      <c r="W214" s="270"/>
      <c r="X214" s="270">
        <f t="shared" si="10"/>
        <v>0</v>
      </c>
      <c r="Y214" s="270"/>
      <c r="Z214" s="270"/>
      <c r="AB214" s="272" t="str">
        <f t="shared" si="11"/>
        <v>TungstenHunan Chuangda Vanadium Tungsten Co., Ltd. Wuji</v>
      </c>
    </row>
    <row r="215" spans="1:28" s="271" customFormat="1" ht="25.5">
      <c r="A215" s="215" t="s">
        <v>1955</v>
      </c>
      <c r="B215" s="216" t="s">
        <v>1250</v>
      </c>
      <c r="C215" s="220" t="s">
        <v>2651</v>
      </c>
      <c r="D215" s="216"/>
      <c r="E215" s="216" t="s">
        <v>1227</v>
      </c>
      <c r="F215" s="216" t="s">
        <v>1955</v>
      </c>
      <c r="G215" s="216" t="s">
        <v>14357</v>
      </c>
      <c r="H215" s="217">
        <v>0</v>
      </c>
      <c r="I215" s="218" t="s">
        <v>1956</v>
      </c>
      <c r="J215" s="218" t="s">
        <v>7238</v>
      </c>
      <c r="K215" s="267"/>
      <c r="L215" s="267"/>
      <c r="M215" s="267"/>
      <c r="N215" s="267"/>
      <c r="O215" s="267"/>
      <c r="P215" s="219"/>
      <c r="Q215" s="268"/>
      <c r="R215" s="216" t="str">
        <f ca="1">IF(ISERROR($V215),"",OFFSET('Smelter Look-up'!$C$4,$V215-4,0)&amp;"")</f>
        <v>T.C.A S.p.A</v>
      </c>
      <c r="S215" s="224" t="str">
        <f t="shared" ca="1" si="9"/>
        <v>IT</v>
      </c>
      <c r="T215" s="224" t="str">
        <f ca="1">IF(B215="","",IF(ISERROR(MATCH($J215,SorP!$B$1:$B$6230,0)),"",INDIRECT("'SorP'!$A$"&amp;MATCH($J215,SorP!$B$1:$B$6230,0))))</f>
        <v>IT-52</v>
      </c>
      <c r="U215" s="239"/>
      <c r="V215" s="269">
        <f>IF(C215="",NA(),MATCH($B215&amp;$C215,'Smelter Look-up'!$J:$J,0))</f>
        <v>234</v>
      </c>
      <c r="W215" s="270"/>
      <c r="X215" s="270">
        <f t="shared" si="10"/>
        <v>0</v>
      </c>
      <c r="Y215" s="270"/>
      <c r="Z215" s="270"/>
      <c r="AB215" s="272" t="str">
        <f t="shared" si="11"/>
        <v>GoldT.C.A S.p.A</v>
      </c>
    </row>
    <row r="216" spans="1:28" s="271" customFormat="1" ht="30" customHeight="1">
      <c r="A216" s="215" t="s">
        <v>2940</v>
      </c>
      <c r="B216" s="216" t="s">
        <v>1250</v>
      </c>
      <c r="C216" s="220" t="s">
        <v>15407</v>
      </c>
      <c r="D216" s="216"/>
      <c r="E216" s="216" t="s">
        <v>1236</v>
      </c>
      <c r="F216" s="216" t="s">
        <v>2940</v>
      </c>
      <c r="G216" s="216" t="s">
        <v>14357</v>
      </c>
      <c r="H216" s="217">
        <v>0</v>
      </c>
      <c r="I216" s="218" t="s">
        <v>2981</v>
      </c>
      <c r="J216" s="218" t="s">
        <v>9739</v>
      </c>
      <c r="K216" s="267"/>
      <c r="L216" s="267"/>
      <c r="M216" s="267"/>
      <c r="N216" s="267"/>
      <c r="O216" s="267"/>
      <c r="P216" s="219"/>
      <c r="Q216" s="268"/>
      <c r="R216" s="216" t="str">
        <f ca="1">IF(ISERROR($V216),"",OFFSET('Smelter Look-up'!$C$4,$V216-4,0)&amp;"")</f>
        <v>REMONDIS PMR B.V.</v>
      </c>
      <c r="S216" s="224" t="str">
        <f t="shared" ca="1" si="9"/>
        <v>NL</v>
      </c>
      <c r="T216" s="224" t="str">
        <f ca="1">IF(B216="","",IF(ISERROR(MATCH($J216,SorP!$B$1:$B$6230,0)),"",INDIRECT("'SorP'!$A$"&amp;MATCH($J216,SorP!$B$1:$B$6230,0))))</f>
        <v>NL-NB</v>
      </c>
      <c r="U216" s="239"/>
      <c r="V216" s="269">
        <f>IF(C216="",NA(),MATCH($B216&amp;$C216,'Smelter Look-up'!$J:$J,0))</f>
        <v>193</v>
      </c>
      <c r="W216" s="270"/>
      <c r="X216" s="270">
        <f t="shared" si="10"/>
        <v>0</v>
      </c>
      <c r="Y216" s="270"/>
      <c r="Z216" s="270"/>
      <c r="AB216" s="272" t="str">
        <f t="shared" si="11"/>
        <v>GoldREMONDIS PMR B.V.</v>
      </c>
    </row>
    <row r="217" spans="1:28" s="271" customFormat="1" ht="35.25" customHeight="1">
      <c r="A217" s="215" t="s">
        <v>2106</v>
      </c>
      <c r="B217" s="216" t="s">
        <v>1253</v>
      </c>
      <c r="C217" s="220" t="s">
        <v>2105</v>
      </c>
      <c r="D217" s="216"/>
      <c r="E217" s="216" t="s">
        <v>3092</v>
      </c>
      <c r="F217" s="216" t="s">
        <v>2106</v>
      </c>
      <c r="G217" s="216" t="s">
        <v>14357</v>
      </c>
      <c r="H217" s="217">
        <v>0</v>
      </c>
      <c r="I217" s="218" t="s">
        <v>2107</v>
      </c>
      <c r="J217" s="218" t="s">
        <v>1855</v>
      </c>
      <c r="K217" s="267"/>
      <c r="L217" s="267"/>
      <c r="M217" s="267"/>
      <c r="N217" s="267"/>
      <c r="O217" s="267"/>
      <c r="P217" s="219"/>
      <c r="Q217" s="268"/>
      <c r="R217" s="216" t="str">
        <f ca="1">IF(ISERROR($V217),"",OFFSET('Smelter Look-up'!$C$4,$V217-4,0)&amp;"")</f>
        <v>Niagara Refining LLC</v>
      </c>
      <c r="S217" s="224" t="str">
        <f t="shared" ca="1" si="9"/>
        <v>US</v>
      </c>
      <c r="T217" s="224" t="str">
        <f ca="1">IF(B217="","",IF(ISERROR(MATCH($J217,SorP!$B$1:$B$6230,0)),"",INDIRECT("'SorP'!$A$"&amp;MATCH($J217,SorP!$B$1:$B$6230,0))))</f>
        <v>US-NY</v>
      </c>
      <c r="U217" s="239"/>
      <c r="V217" s="269">
        <f>IF(C217="",NA(),MATCH($B217&amp;$C217,'Smelter Look-up'!$J:$J,0))</f>
        <v>568</v>
      </c>
      <c r="W217" s="270"/>
      <c r="X217" s="270">
        <f t="shared" si="10"/>
        <v>0</v>
      </c>
      <c r="Y217" s="270"/>
      <c r="Z217" s="270"/>
      <c r="AB217" s="272" t="str">
        <f t="shared" si="11"/>
        <v>TungstenNiagara Refining LLC</v>
      </c>
    </row>
    <row r="218" spans="1:28" s="271" customFormat="1" ht="31.5" customHeight="1">
      <c r="A218" s="215" t="s">
        <v>2735</v>
      </c>
      <c r="B218" s="216" t="s">
        <v>1251</v>
      </c>
      <c r="C218" s="220" t="s">
        <v>2734</v>
      </c>
      <c r="D218" s="216"/>
      <c r="E218" s="216" t="s">
        <v>1225</v>
      </c>
      <c r="F218" s="216" t="s">
        <v>2735</v>
      </c>
      <c r="G218" s="216" t="s">
        <v>14357</v>
      </c>
      <c r="H218" s="217">
        <v>0</v>
      </c>
      <c r="I218" s="218" t="s">
        <v>2017</v>
      </c>
      <c r="J218" s="218" t="s">
        <v>13917</v>
      </c>
      <c r="K218" s="267"/>
      <c r="L218" s="267"/>
      <c r="M218" s="267"/>
      <c r="N218" s="267"/>
      <c r="O218" s="267"/>
      <c r="P218" s="219"/>
      <c r="Q218" s="268"/>
      <c r="R218" s="216" t="str">
        <f ca="1">IF(ISERROR($V218),"",OFFSET('Smelter Look-up'!$C$4,$V218-4,0)&amp;"")</f>
        <v>CV Dua Sekawan</v>
      </c>
      <c r="S218" s="224" t="str">
        <f t="shared" ca="1" si="9"/>
        <v>ID</v>
      </c>
      <c r="T218" s="224" t="str">
        <f ca="1">IF(B218="","",IF(ISERROR(MATCH($J218,SorP!$B$1:$B$6230,0)),"",INDIRECT("'SorP'!$A$"&amp;MATCH($J218,SorP!$B$1:$B$6230,0))))</f>
        <v>ID-BB</v>
      </c>
      <c r="U218" s="239"/>
      <c r="V218" s="269">
        <f>IF(C218="",NA(),MATCH($B218&amp;$C218,'Smelter Look-up'!$J:$J,0))</f>
        <v>369</v>
      </c>
      <c r="W218" s="270"/>
      <c r="X218" s="270">
        <f t="shared" si="10"/>
        <v>0</v>
      </c>
      <c r="Y218" s="270"/>
      <c r="Z218" s="270"/>
      <c r="AB218" s="272" t="str">
        <f t="shared" si="11"/>
        <v>TinCV Dua Sekawan</v>
      </c>
    </row>
    <row r="219" spans="1:28" s="271" customFormat="1" ht="26.25" customHeight="1">
      <c r="A219" s="215" t="s">
        <v>2707</v>
      </c>
      <c r="B219" s="216" t="s">
        <v>1251</v>
      </c>
      <c r="C219" s="220" t="s">
        <v>15414</v>
      </c>
      <c r="D219" s="216"/>
      <c r="E219" s="216" t="s">
        <v>1225</v>
      </c>
      <c r="F219" s="216" t="s">
        <v>2707</v>
      </c>
      <c r="G219" s="216" t="s">
        <v>14357</v>
      </c>
      <c r="H219" s="217">
        <v>0</v>
      </c>
      <c r="I219" s="218" t="s">
        <v>2017</v>
      </c>
      <c r="J219" s="218" t="s">
        <v>13917</v>
      </c>
      <c r="K219" s="267"/>
      <c r="L219" s="267"/>
      <c r="M219" s="267"/>
      <c r="N219" s="267"/>
      <c r="O219" s="267"/>
      <c r="P219" s="219"/>
      <c r="Q219" s="268"/>
      <c r="R219" s="216" t="str">
        <f ca="1">IF(ISERROR($V219),"",OFFSET('Smelter Look-up'!$C$4,$V219-4,0)&amp;"")</f>
        <v>PT Rajehan Ariq</v>
      </c>
      <c r="S219" s="224" t="str">
        <f t="shared" ca="1" si="9"/>
        <v>ID</v>
      </c>
      <c r="T219" s="224" t="str">
        <f ca="1">IF(B219="","",IF(ISERROR(MATCH($J219,SorP!$B$1:$B$6230,0)),"",INDIRECT("'SorP'!$A$"&amp;MATCH($J219,SorP!$B$1:$B$6230,0))))</f>
        <v>ID-BB</v>
      </c>
      <c r="U219" s="239"/>
      <c r="V219" s="269">
        <f>IF(C219="",NA(),MATCH($B219&amp;$C219,'Smelter Look-up'!$J:$J,0))</f>
        <v>465</v>
      </c>
      <c r="W219" s="270"/>
      <c r="X219" s="270">
        <f t="shared" si="10"/>
        <v>0</v>
      </c>
      <c r="Y219" s="270"/>
      <c r="Z219" s="270"/>
      <c r="AB219" s="272" t="str">
        <f t="shared" si="11"/>
        <v>TinPT Rajehan Ariq</v>
      </c>
    </row>
    <row r="220" spans="1:28" s="271" customFormat="1" ht="24" customHeight="1">
      <c r="A220" s="215" t="s">
        <v>1957</v>
      </c>
      <c r="B220" s="216" t="s">
        <v>1250</v>
      </c>
      <c r="C220" s="220" t="s">
        <v>2926</v>
      </c>
      <c r="D220" s="216"/>
      <c r="E220" s="216" t="s">
        <v>1231</v>
      </c>
      <c r="F220" s="216" t="s">
        <v>1957</v>
      </c>
      <c r="G220" s="216" t="s">
        <v>14357</v>
      </c>
      <c r="H220" s="217">
        <v>0</v>
      </c>
      <c r="I220" s="218" t="s">
        <v>1958</v>
      </c>
      <c r="J220" s="218" t="s">
        <v>13942</v>
      </c>
      <c r="K220" s="267"/>
      <c r="L220" s="267"/>
      <c r="M220" s="267"/>
      <c r="N220" s="267"/>
      <c r="O220" s="267"/>
      <c r="P220" s="219"/>
      <c r="Q220" s="268"/>
      <c r="R220" s="216" t="str">
        <f ca="1">IF(ISERROR($V220),"",OFFSET('Smelter Look-up'!$C$4,$V220-4,0)&amp;"")</f>
        <v>Korea Zinc Co., Ltd.</v>
      </c>
      <c r="S220" s="224" t="str">
        <f t="shared" ca="1" si="9"/>
        <v>KR</v>
      </c>
      <c r="T220" s="224" t="str">
        <f ca="1">IF(B220="","",IF(ISERROR(MATCH($J220,SorP!$B$1:$B$6230,0)),"",INDIRECT("'SorP'!$A$"&amp;MATCH($J220,SorP!$B$1:$B$6230,0))))</f>
        <v>KR-11</v>
      </c>
      <c r="U220" s="239"/>
      <c r="V220" s="269">
        <f>IF(C220="",NA(),MATCH($B220&amp;$C220,'Smelter Look-up'!$J:$J,0))</f>
        <v>124</v>
      </c>
      <c r="W220" s="270"/>
      <c r="X220" s="270">
        <f t="shared" si="10"/>
        <v>0</v>
      </c>
      <c r="Y220" s="270"/>
      <c r="Z220" s="270"/>
      <c r="AB220" s="272" t="str">
        <f t="shared" si="11"/>
        <v>GoldKorea Zinc Co., Ltd.</v>
      </c>
    </row>
    <row r="221" spans="1:28" s="271" customFormat="1" ht="27" customHeight="1">
      <c r="A221" s="215" t="s">
        <v>3202</v>
      </c>
      <c r="B221" s="216" t="s">
        <v>1250</v>
      </c>
      <c r="C221" s="220" t="s">
        <v>3201</v>
      </c>
      <c r="D221" s="216"/>
      <c r="E221" s="216" t="s">
        <v>1216</v>
      </c>
      <c r="F221" s="216" t="s">
        <v>3202</v>
      </c>
      <c r="G221" s="216" t="s">
        <v>14357</v>
      </c>
      <c r="H221" s="217">
        <v>0</v>
      </c>
      <c r="I221" s="218" t="s">
        <v>3203</v>
      </c>
      <c r="J221" s="218" t="s">
        <v>1916</v>
      </c>
      <c r="K221" s="267"/>
      <c r="L221" s="267"/>
      <c r="M221" s="267"/>
      <c r="N221" s="267"/>
      <c r="O221" s="267"/>
      <c r="P221" s="219"/>
      <c r="Q221" s="268"/>
      <c r="R221" s="216" t="str">
        <f ca="1">IF(ISERROR($V221),"",OFFSET('Smelter Look-up'!$C$4,$V221-4,0)&amp;"")</f>
        <v>Marsam Metals</v>
      </c>
      <c r="S221" s="224" t="str">
        <f t="shared" ca="1" si="9"/>
        <v>BR</v>
      </c>
      <c r="T221" s="224" t="str">
        <f ca="1">IF(B221="","",IF(ISERROR(MATCH($J221,SorP!$B$1:$B$6230,0)),"",INDIRECT("'SorP'!$A$"&amp;MATCH($J221,SorP!$B$1:$B$6230,0))))</f>
        <v>BR-SP</v>
      </c>
      <c r="U221" s="239"/>
      <c r="V221" s="269">
        <f>IF(C221="",NA(),MATCH($B221&amp;$C221,'Smelter Look-up'!$J:$J,0))</f>
        <v>139</v>
      </c>
      <c r="W221" s="270"/>
      <c r="X221" s="270">
        <f t="shared" si="10"/>
        <v>0</v>
      </c>
      <c r="Y221" s="270"/>
      <c r="Z221" s="270"/>
      <c r="AB221" s="272" t="str">
        <f t="shared" si="11"/>
        <v>GoldMarsam Metals</v>
      </c>
    </row>
    <row r="222" spans="1:28" s="271" customFormat="1" ht="24" customHeight="1">
      <c r="A222" s="215" t="s">
        <v>3230</v>
      </c>
      <c r="B222" s="216" t="s">
        <v>1253</v>
      </c>
      <c r="C222" s="220" t="s">
        <v>14015</v>
      </c>
      <c r="D222" s="216"/>
      <c r="E222" s="216" t="s">
        <v>1220</v>
      </c>
      <c r="F222" s="216" t="s">
        <v>3230</v>
      </c>
      <c r="G222" s="216" t="s">
        <v>14357</v>
      </c>
      <c r="H222" s="217">
        <v>0</v>
      </c>
      <c r="I222" s="218" t="s">
        <v>2024</v>
      </c>
      <c r="J222" s="218" t="s">
        <v>15233</v>
      </c>
      <c r="K222" s="267"/>
      <c r="L222" s="267"/>
      <c r="M222" s="267"/>
      <c r="N222" s="267"/>
      <c r="O222" s="267"/>
      <c r="P222" s="219"/>
      <c r="Q222" s="268"/>
      <c r="R222" s="216" t="str">
        <f ca="1">IF(ISERROR($V222),"",OFFSET('Smelter Look-up'!$C$4,$V222-4,0)&amp;"")</f>
        <v>Ganzhou Haichuang Tungsten Co., Ltd.</v>
      </c>
      <c r="S222" s="224" t="str">
        <f t="shared" ca="1" si="9"/>
        <v>CN</v>
      </c>
      <c r="T222" s="224" t="str">
        <f ca="1">IF(B222="","",IF(ISERROR(MATCH($J222,SorP!$B$1:$B$6230,0)),"",INDIRECT("'SorP'!$A$"&amp;MATCH($J222,SorP!$B$1:$B$6230,0))))</f>
        <v>CN-JX</v>
      </c>
      <c r="U222" s="239"/>
      <c r="V222" s="269">
        <f>IF(C222="",NA(),MATCH($B222&amp;$C222,'Smelter Look-up'!$J:$J,0))</f>
        <v>533</v>
      </c>
      <c r="W222" s="270"/>
      <c r="X222" s="270">
        <f t="shared" si="10"/>
        <v>0</v>
      </c>
      <c r="Y222" s="270"/>
      <c r="Z222" s="270"/>
      <c r="AB222" s="272" t="str">
        <f t="shared" si="11"/>
        <v>TungstenGanzhou Haichuang Tungsten Co., Ltd.</v>
      </c>
    </row>
    <row r="223" spans="1:28" s="271" customFormat="1" ht="32.25" customHeight="1">
      <c r="A223" s="215" t="s">
        <v>2109</v>
      </c>
      <c r="B223" s="216" t="s">
        <v>1253</v>
      </c>
      <c r="C223" s="220" t="s">
        <v>2108</v>
      </c>
      <c r="D223" s="216"/>
      <c r="E223" s="216" t="s">
        <v>999</v>
      </c>
      <c r="F223" s="216" t="s">
        <v>2109</v>
      </c>
      <c r="G223" s="216" t="s">
        <v>14357</v>
      </c>
      <c r="H223" s="217">
        <v>0</v>
      </c>
      <c r="I223" s="218" t="s">
        <v>2110</v>
      </c>
      <c r="J223" s="218" t="s">
        <v>10898</v>
      </c>
      <c r="K223" s="267"/>
      <c r="L223" s="267"/>
      <c r="M223" s="267"/>
      <c r="N223" s="267"/>
      <c r="O223" s="267"/>
      <c r="P223" s="219"/>
      <c r="Q223" s="268"/>
      <c r="R223" s="216" t="str">
        <f ca="1">IF(ISERROR($V223),"",OFFSET('Smelter Look-up'!$C$4,$V223-4,0)&amp;"")</f>
        <v>Hydrometallurg, JSC</v>
      </c>
      <c r="S223" s="224" t="str">
        <f t="shared" ca="1" si="9"/>
        <v>RU</v>
      </c>
      <c r="T223" s="224" t="str">
        <f ca="1">IF(B223="","",IF(ISERROR(MATCH($J223,SorP!$B$1:$B$6230,0)),"",INDIRECT("'SorP'!$A$"&amp;MATCH($J223,SorP!$B$1:$B$6230,0))))</f>
        <v>RU-KB</v>
      </c>
      <c r="U223" s="239"/>
      <c r="V223" s="269">
        <f>IF(C223="",NA(),MATCH($B223&amp;$C223,'Smelter Look-up'!$J:$J,0))</f>
        <v>549</v>
      </c>
      <c r="W223" s="270"/>
      <c r="X223" s="270">
        <f t="shared" si="10"/>
        <v>0</v>
      </c>
      <c r="Y223" s="270"/>
      <c r="Z223" s="270"/>
      <c r="AB223" s="272" t="str">
        <f t="shared" si="11"/>
        <v>TungstenHydrometallurg, JSC</v>
      </c>
    </row>
    <row r="224" spans="1:28" s="271" customFormat="1" ht="19.5" customHeight="1">
      <c r="A224" s="215" t="s">
        <v>2072</v>
      </c>
      <c r="B224" s="216" t="s">
        <v>1251</v>
      </c>
      <c r="C224" s="220" t="s">
        <v>13322</v>
      </c>
      <c r="D224" s="216"/>
      <c r="E224" s="216" t="s">
        <v>1216</v>
      </c>
      <c r="F224" s="216" t="s">
        <v>2072</v>
      </c>
      <c r="G224" s="216" t="s">
        <v>14357</v>
      </c>
      <c r="H224" s="217">
        <v>0</v>
      </c>
      <c r="I224" s="218" t="s">
        <v>1966</v>
      </c>
      <c r="J224" s="218" t="s">
        <v>2006</v>
      </c>
      <c r="K224" s="267"/>
      <c r="L224" s="267"/>
      <c r="M224" s="267"/>
      <c r="N224" s="267"/>
      <c r="O224" s="267"/>
      <c r="P224" s="219"/>
      <c r="Q224" s="268"/>
      <c r="R224" s="216" t="str">
        <f ca="1">IF(ISERROR($V224),"",OFFSET('Smelter Look-up'!$C$4,$V224-4,0)&amp;"")</f>
        <v>Resind Industria e Comercio Ltda.</v>
      </c>
      <c r="S224" s="224" t="str">
        <f t="shared" ca="1" si="9"/>
        <v>BR</v>
      </c>
      <c r="T224" s="224" t="str">
        <f ca="1">IF(B224="","",IF(ISERROR(MATCH($J224,SorP!$B$1:$B$6230,0)),"",INDIRECT("'SorP'!$A$"&amp;MATCH($J224,SorP!$B$1:$B$6230,0))))</f>
        <v>BR-MG</v>
      </c>
      <c r="U224" s="239"/>
      <c r="V224" s="269">
        <f>IF(C224="",NA(),MATCH($B224&amp;$C224,'Smelter Look-up'!$J:$J,0))</f>
        <v>478</v>
      </c>
      <c r="W224" s="270"/>
      <c r="X224" s="270">
        <f t="shared" si="10"/>
        <v>0</v>
      </c>
      <c r="Y224" s="270"/>
      <c r="Z224" s="270"/>
      <c r="AB224" s="272" t="str">
        <f t="shared" si="11"/>
        <v>TinResind Industria e Comercio Ltda.</v>
      </c>
    </row>
    <row r="225" spans="1:28" s="271" customFormat="1" ht="19.5" customHeight="1">
      <c r="A225" s="215" t="s">
        <v>2005</v>
      </c>
      <c r="B225" s="216" t="s">
        <v>1252</v>
      </c>
      <c r="C225" s="220" t="s">
        <v>13322</v>
      </c>
      <c r="D225" s="216"/>
      <c r="E225" s="216" t="s">
        <v>1216</v>
      </c>
      <c r="F225" s="216" t="s">
        <v>2005</v>
      </c>
      <c r="G225" s="216" t="s">
        <v>14357</v>
      </c>
      <c r="H225" s="217">
        <v>0</v>
      </c>
      <c r="I225" s="218" t="s">
        <v>1966</v>
      </c>
      <c r="J225" s="218" t="s">
        <v>2006</v>
      </c>
      <c r="K225" s="267"/>
      <c r="L225" s="267"/>
      <c r="M225" s="267"/>
      <c r="N225" s="267"/>
      <c r="O225" s="267"/>
      <c r="P225" s="219"/>
      <c r="Q225" s="268"/>
      <c r="R225" s="216" t="str">
        <f ca="1">IF(ISERROR($V225),"",OFFSET('Smelter Look-up'!$C$4,$V225-4,0)&amp;"")</f>
        <v>Resind Industria e Comercio Ltda.</v>
      </c>
      <c r="S225" s="224" t="str">
        <f t="shared" ca="1" si="9"/>
        <v>BR</v>
      </c>
      <c r="T225" s="224" t="str">
        <f ca="1">IF(B225="","",IF(ISERROR(MATCH($J225,SorP!$B$1:$B$6230,0)),"",INDIRECT("'SorP'!$A$"&amp;MATCH($J225,SorP!$B$1:$B$6230,0))))</f>
        <v>BR-MG</v>
      </c>
      <c r="U225" s="239"/>
      <c r="V225" s="269">
        <f>IF(C225="",NA(),MATCH($B225&amp;$C225,'Smelter Look-up'!$J:$J,0))</f>
        <v>331</v>
      </c>
      <c r="W225" s="270"/>
      <c r="X225" s="270">
        <f t="shared" si="10"/>
        <v>0</v>
      </c>
      <c r="Y225" s="270"/>
      <c r="Z225" s="270"/>
      <c r="AB225" s="272" t="str">
        <f t="shared" si="11"/>
        <v>TantalumResind Industria e Comercio Ltda.</v>
      </c>
    </row>
    <row r="226" spans="1:28" s="271" customFormat="1" ht="19.5" customHeight="1">
      <c r="A226" s="215" t="s">
        <v>3113</v>
      </c>
      <c r="B226" s="216" t="s">
        <v>1253</v>
      </c>
      <c r="C226" s="220" t="s">
        <v>3112</v>
      </c>
      <c r="D226" s="216"/>
      <c r="E226" s="216" t="s">
        <v>999</v>
      </c>
      <c r="F226" s="216" t="s">
        <v>3113</v>
      </c>
      <c r="G226" s="216" t="s">
        <v>14357</v>
      </c>
      <c r="H226" s="217">
        <v>0</v>
      </c>
      <c r="I226" s="218" t="s">
        <v>3235</v>
      </c>
      <c r="J226" s="218" t="s">
        <v>10818</v>
      </c>
      <c r="K226" s="267"/>
      <c r="L226" s="267"/>
      <c r="M226" s="267"/>
      <c r="N226" s="267"/>
      <c r="O226" s="267"/>
      <c r="P226" s="219"/>
      <c r="Q226" s="268"/>
      <c r="R226" s="216" t="str">
        <f ca="1">IF(ISERROR($V226),"",OFFSET('Smelter Look-up'!$C$4,$V226-4,0)&amp;"")</f>
        <v>Unecha Refractory metals plant</v>
      </c>
      <c r="S226" s="224" t="str">
        <f t="shared" ca="1" si="9"/>
        <v>RU</v>
      </c>
      <c r="T226" s="224" t="str">
        <f ca="1">IF(B226="","",IF(ISERROR(MATCH($J226,SorP!$B$1:$B$6230,0)),"",INDIRECT("'SorP'!$A$"&amp;MATCH($J226,SorP!$B$1:$B$6230,0))))</f>
        <v>RU-BRY</v>
      </c>
      <c r="U226" s="239"/>
      <c r="V226" s="269">
        <f>IF(C226="",NA(),MATCH($B226&amp;$C226,'Smelter Look-up'!$J:$J,0))</f>
        <v>574</v>
      </c>
      <c r="W226" s="270"/>
      <c r="X226" s="270">
        <f t="shared" si="10"/>
        <v>0</v>
      </c>
      <c r="Y226" s="270"/>
      <c r="Z226" s="270"/>
      <c r="AB226" s="272" t="str">
        <f t="shared" si="11"/>
        <v>TungstenUnecha Refractory metals plant</v>
      </c>
    </row>
    <row r="227" spans="1:28" s="271" customFormat="1" ht="20.25" customHeight="1">
      <c r="A227" s="215" t="s">
        <v>2699</v>
      </c>
      <c r="B227" s="216" t="s">
        <v>1250</v>
      </c>
      <c r="C227" s="220" t="s">
        <v>2698</v>
      </c>
      <c r="D227" s="216"/>
      <c r="E227" s="216" t="s">
        <v>1224</v>
      </c>
      <c r="F227" s="216" t="s">
        <v>2699</v>
      </c>
      <c r="G227" s="216" t="s">
        <v>14357</v>
      </c>
      <c r="H227" s="217">
        <v>0</v>
      </c>
      <c r="I227" s="218" t="s">
        <v>2700</v>
      </c>
      <c r="J227" s="218" t="s">
        <v>5594</v>
      </c>
      <c r="K227" s="267"/>
      <c r="L227" s="267"/>
      <c r="M227" s="267"/>
      <c r="N227" s="267"/>
      <c r="O227" s="267"/>
      <c r="P227" s="219"/>
      <c r="Q227" s="268"/>
      <c r="R227" s="216" t="str">
        <f ca="1">IF(ISERROR($V227),"",OFFSET('Smelter Look-up'!$C$4,$V227-4,0)&amp;"")</f>
        <v>SAAMP</v>
      </c>
      <c r="S227" s="224" t="str">
        <f t="shared" ca="1" si="9"/>
        <v>FR</v>
      </c>
      <c r="T227" s="224" t="str">
        <f ca="1">IF(B227="","",IF(ISERROR(MATCH($J227,SorP!$B$1:$B$6230,0)),"",INDIRECT("'SorP'!$A$"&amp;MATCH($J227,SorP!$B$1:$B$6230,0))))</f>
        <v>FR-IDF</v>
      </c>
      <c r="U227" s="239"/>
      <c r="V227" s="269">
        <f>IF(C227="",NA(),MATCH($B227&amp;$C227,'Smelter Look-up'!$J:$J,0))</f>
        <v>195</v>
      </c>
      <c r="W227" s="270"/>
      <c r="X227" s="270">
        <f t="shared" si="10"/>
        <v>0</v>
      </c>
      <c r="Y227" s="270"/>
      <c r="Z227" s="270"/>
      <c r="AB227" s="272" t="str">
        <f t="shared" si="11"/>
        <v>GoldSAAMP</v>
      </c>
    </row>
    <row r="228" spans="1:28" s="271" customFormat="1" ht="22.5" customHeight="1">
      <c r="A228" s="215" t="s">
        <v>3100</v>
      </c>
      <c r="B228" s="216" t="s">
        <v>1250</v>
      </c>
      <c r="C228" s="220" t="s">
        <v>3099</v>
      </c>
      <c r="D228" s="216"/>
      <c r="E228" s="216" t="s">
        <v>1211</v>
      </c>
      <c r="F228" s="216" t="s">
        <v>3100</v>
      </c>
      <c r="G228" s="216" t="s">
        <v>14357</v>
      </c>
      <c r="H228" s="217">
        <v>0</v>
      </c>
      <c r="I228" s="218" t="s">
        <v>3115</v>
      </c>
      <c r="J228" s="218" t="s">
        <v>3115</v>
      </c>
      <c r="K228" s="267"/>
      <c r="L228" s="267"/>
      <c r="M228" s="267"/>
      <c r="N228" s="267"/>
      <c r="O228" s="267"/>
      <c r="P228" s="219"/>
      <c r="Q228" s="268"/>
      <c r="R228" s="216" t="str">
        <f ca="1">IF(ISERROR($V228),"",OFFSET('Smelter Look-up'!$C$4,$V228-4,0)&amp;"")</f>
        <v>L'Orfebre S.A.</v>
      </c>
      <c r="S228" s="224" t="str">
        <f t="shared" ca="1" si="9"/>
        <v>AD</v>
      </c>
      <c r="T228" s="224" t="str">
        <f ca="1">IF(B228="","",IF(ISERROR(MATCH($J228,SorP!$B$1:$B$6230,0)),"",INDIRECT("'SorP'!$A$"&amp;MATCH($J228,SorP!$B$1:$B$6230,0))))</f>
        <v>AD-07</v>
      </c>
      <c r="U228" s="239"/>
      <c r="V228" s="269">
        <f>IF(C228="",NA(),MATCH($B228&amp;$C228,'Smelter Look-up'!$J:$J,0))</f>
        <v>134</v>
      </c>
      <c r="W228" s="270"/>
      <c r="X228" s="270">
        <f t="shared" si="10"/>
        <v>0</v>
      </c>
      <c r="Y228" s="270"/>
      <c r="Z228" s="270"/>
      <c r="AB228" s="272" t="str">
        <f t="shared" si="11"/>
        <v>GoldL'Orfebre S.A.</v>
      </c>
    </row>
    <row r="229" spans="1:28" s="271" customFormat="1" ht="15.75" customHeight="1">
      <c r="A229" s="215" t="s">
        <v>15397</v>
      </c>
      <c r="B229" s="216" t="s">
        <v>1250</v>
      </c>
      <c r="C229" s="220" t="s">
        <v>15396</v>
      </c>
      <c r="D229" s="216"/>
      <c r="E229" s="216" t="s">
        <v>1227</v>
      </c>
      <c r="F229" s="216" t="s">
        <v>15397</v>
      </c>
      <c r="G229" s="216" t="s">
        <v>14357</v>
      </c>
      <c r="H229" s="217">
        <v>0</v>
      </c>
      <c r="I229" s="218" t="s">
        <v>15452</v>
      </c>
      <c r="J229" s="218" t="s">
        <v>7182</v>
      </c>
      <c r="K229" s="267"/>
      <c r="L229" s="267"/>
      <c r="M229" s="267"/>
      <c r="N229" s="267"/>
      <c r="O229" s="267"/>
      <c r="P229" s="219"/>
      <c r="Q229" s="268"/>
      <c r="R229" s="216" t="str">
        <f ca="1">IF(ISERROR($V229),"",OFFSET('Smelter Look-up'!$C$4,$V229-4,0)&amp;"")</f>
        <v>8853 S.p.A.</v>
      </c>
      <c r="S229" s="224" t="str">
        <f t="shared" ca="1" si="9"/>
        <v>IT</v>
      </c>
      <c r="T229" s="224" t="str">
        <f ca="1">IF(B229="","",IF(ISERROR(MATCH($J229,SorP!$B$1:$B$6230,0)),"",INDIRECT("'SorP'!$A$"&amp;MATCH($J229,SorP!$B$1:$B$6230,0))))</f>
        <v>IT-25</v>
      </c>
      <c r="U229" s="239"/>
      <c r="V229" s="269">
        <f>IF(C229="",NA(),MATCH($B229&amp;$C229,'Smelter Look-up'!$J:$J,0))</f>
        <v>5</v>
      </c>
      <c r="W229" s="270"/>
      <c r="X229" s="270">
        <f t="shared" si="10"/>
        <v>0</v>
      </c>
      <c r="Y229" s="270"/>
      <c r="Z229" s="270"/>
      <c r="AB229" s="272" t="str">
        <f t="shared" si="11"/>
        <v>Gold8853 S.p.A.</v>
      </c>
    </row>
    <row r="230" spans="1:28" s="271" customFormat="1" ht="15.75" customHeight="1">
      <c r="A230" s="215" t="s">
        <v>3196</v>
      </c>
      <c r="B230" s="216" t="s">
        <v>1250</v>
      </c>
      <c r="C230" s="220" t="s">
        <v>3195</v>
      </c>
      <c r="D230" s="216"/>
      <c r="E230" s="216" t="s">
        <v>1227</v>
      </c>
      <c r="F230" s="216" t="s">
        <v>3196</v>
      </c>
      <c r="G230" s="216" t="s">
        <v>14357</v>
      </c>
      <c r="H230" s="217">
        <v>0</v>
      </c>
      <c r="I230" s="218" t="s">
        <v>1806</v>
      </c>
      <c r="J230" s="218" t="s">
        <v>7238</v>
      </c>
      <c r="K230" s="267"/>
      <c r="L230" s="267"/>
      <c r="M230" s="267"/>
      <c r="N230" s="267"/>
      <c r="O230" s="267"/>
      <c r="P230" s="219"/>
      <c r="Q230" s="268"/>
      <c r="R230" s="216" t="str">
        <f ca="1">IF(ISERROR($V230),"",OFFSET('Smelter Look-up'!$C$4,$V230-4,0)&amp;"")</f>
        <v>Italpreziosi</v>
      </c>
      <c r="S230" s="224" t="str">
        <f t="shared" ca="1" si="9"/>
        <v>IT</v>
      </c>
      <c r="T230" s="224" t="str">
        <f ca="1">IF(B230="","",IF(ISERROR(MATCH($J230,SorP!$B$1:$B$6230,0)),"",INDIRECT("'SorP'!$A$"&amp;MATCH($J230,SorP!$B$1:$B$6230,0))))</f>
        <v>IT-52</v>
      </c>
      <c r="U230" s="239"/>
      <c r="V230" s="269">
        <f>IF(C230="",NA(),MATCH($B230&amp;$C230,'Smelter Look-up'!$J:$J,0))</f>
        <v>103</v>
      </c>
      <c r="W230" s="270"/>
      <c r="X230" s="270">
        <f t="shared" si="10"/>
        <v>0</v>
      </c>
      <c r="Y230" s="270"/>
      <c r="Z230" s="270"/>
      <c r="AB230" s="272" t="str">
        <f t="shared" si="11"/>
        <v>GoldItalpreziosi</v>
      </c>
    </row>
    <row r="231" spans="1:28" s="271" customFormat="1" ht="20.25" customHeight="1">
      <c r="A231" s="215" t="s">
        <v>2073</v>
      </c>
      <c r="B231" s="216" t="s">
        <v>1251</v>
      </c>
      <c r="C231" s="220" t="s">
        <v>14009</v>
      </c>
      <c r="D231" s="216"/>
      <c r="E231" s="216" t="s">
        <v>1215</v>
      </c>
      <c r="F231" s="216" t="s">
        <v>2073</v>
      </c>
      <c r="G231" s="216" t="s">
        <v>14357</v>
      </c>
      <c r="H231" s="217">
        <v>0</v>
      </c>
      <c r="I231" s="218" t="s">
        <v>2074</v>
      </c>
      <c r="J231" s="218" t="s">
        <v>3852</v>
      </c>
      <c r="K231" s="267"/>
      <c r="L231" s="267"/>
      <c r="M231" s="267"/>
      <c r="N231" s="267"/>
      <c r="O231" s="267"/>
      <c r="P231" s="219"/>
      <c r="Q231" s="268"/>
      <c r="R231" s="216" t="str">
        <f ca="1">IF(ISERROR($V231),"",OFFSET('Smelter Look-up'!$C$4,$V231-4,0)&amp;"")</f>
        <v>Metallo Belgium N.V.</v>
      </c>
      <c r="S231" s="224" t="str">
        <f t="shared" ca="1" si="9"/>
        <v>BE</v>
      </c>
      <c r="T231" s="224" t="str">
        <f ca="1">IF(B231="","",IF(ISERROR(MATCH($J231,SorP!$B$1:$B$6230,0)),"",INDIRECT("'SorP'!$A$"&amp;MATCH($J231,SorP!$B$1:$B$6230,0))))</f>
        <v>BE-VAN</v>
      </c>
      <c r="U231" s="239"/>
      <c r="V231" s="269">
        <f>IF(C231="",NA(),MATCH($B231&amp;$C231,'Smelter Look-up'!$J:$J,0))</f>
        <v>423</v>
      </c>
      <c r="W231" s="270"/>
      <c r="X231" s="270">
        <f t="shared" si="10"/>
        <v>0</v>
      </c>
      <c r="Y231" s="270"/>
      <c r="Z231" s="270"/>
      <c r="AB231" s="272" t="str">
        <f t="shared" si="11"/>
        <v>TinMetallo Belgium N.V.</v>
      </c>
    </row>
    <row r="232" spans="1:28" s="271" customFormat="1" ht="31.5" customHeight="1">
      <c r="A232" s="215" t="s">
        <v>2075</v>
      </c>
      <c r="B232" s="216" t="s">
        <v>1251</v>
      </c>
      <c r="C232" s="220" t="s">
        <v>14010</v>
      </c>
      <c r="D232" s="216"/>
      <c r="E232" s="216" t="s">
        <v>1222</v>
      </c>
      <c r="F232" s="216" t="s">
        <v>2075</v>
      </c>
      <c r="G232" s="216" t="s">
        <v>14357</v>
      </c>
      <c r="H232" s="217">
        <v>0</v>
      </c>
      <c r="I232" s="218" t="s">
        <v>2076</v>
      </c>
      <c r="J232" s="218" t="s">
        <v>13298</v>
      </c>
      <c r="K232" s="267"/>
      <c r="L232" s="267"/>
      <c r="M232" s="267"/>
      <c r="N232" s="267"/>
      <c r="O232" s="267"/>
      <c r="P232" s="219"/>
      <c r="Q232" s="268"/>
      <c r="R232" s="216" t="str">
        <f ca="1">IF(ISERROR($V232),"",OFFSET('Smelter Look-up'!$C$4,$V232-4,0)&amp;"")</f>
        <v>Metallo Spain S.L.U.</v>
      </c>
      <c r="S232" s="224" t="str">
        <f t="shared" ca="1" si="9"/>
        <v>ES</v>
      </c>
      <c r="T232" s="224" t="str">
        <f ca="1">IF(B232="","",IF(ISERROR(MATCH($J232,SorP!$B$1:$B$6230,0)),"",INDIRECT("'SorP'!$A$"&amp;MATCH($J232,SorP!$B$1:$B$6230,0))))</f>
        <v>ES-BI</v>
      </c>
      <c r="U232" s="239"/>
      <c r="V232" s="269">
        <f>IF(C232="",NA(),MATCH($B232&amp;$C232,'Smelter Look-up'!$J:$J,0))</f>
        <v>424</v>
      </c>
      <c r="W232" s="270"/>
      <c r="X232" s="270">
        <f t="shared" si="10"/>
        <v>0</v>
      </c>
      <c r="Y232" s="270"/>
      <c r="Z232" s="270"/>
      <c r="AB232" s="272" t="str">
        <f t="shared" si="11"/>
        <v>TinMetallo Spain S.L.U.</v>
      </c>
    </row>
    <row r="233" spans="1:28" s="271" customFormat="1" ht="33.75" customHeight="1">
      <c r="A233" s="215" t="s">
        <v>2640</v>
      </c>
      <c r="B233" s="216" t="s">
        <v>1251</v>
      </c>
      <c r="C233" s="220" t="s">
        <v>2639</v>
      </c>
      <c r="D233" s="216"/>
      <c r="E233" s="216" t="s">
        <v>1225</v>
      </c>
      <c r="F233" s="216" t="s">
        <v>2640</v>
      </c>
      <c r="G233" s="216" t="s">
        <v>14357</v>
      </c>
      <c r="H233" s="217">
        <v>0</v>
      </c>
      <c r="I233" s="218" t="s">
        <v>14022</v>
      </c>
      <c r="J233" s="218" t="s">
        <v>13917</v>
      </c>
      <c r="K233" s="267"/>
      <c r="L233" s="267"/>
      <c r="M233" s="267"/>
      <c r="N233" s="267"/>
      <c r="O233" s="267"/>
      <c r="P233" s="219"/>
      <c r="Q233" s="268"/>
      <c r="R233" s="216" t="str">
        <f ca="1">IF(ISERROR($V233),"",OFFSET('Smelter Look-up'!$C$4,$V233-4,0)&amp;"")</f>
        <v>PT Bangka Prima Tin</v>
      </c>
      <c r="S233" s="224" t="str">
        <f t="shared" ca="1" si="9"/>
        <v>ID</v>
      </c>
      <c r="T233" s="224" t="str">
        <f ca="1">IF(B233="","",IF(ISERROR(MATCH($J233,SorP!$B$1:$B$6230,0)),"",INDIRECT("'SorP'!$A$"&amp;MATCH($J233,SorP!$B$1:$B$6230,0))))</f>
        <v>ID-BB</v>
      </c>
      <c r="U233" s="239"/>
      <c r="V233" s="269">
        <f>IF(C233="",NA(),MATCH($B233&amp;$C233,'Smelter Look-up'!$J:$J,0))</f>
        <v>447</v>
      </c>
      <c r="W233" s="270"/>
      <c r="X233" s="270">
        <f t="shared" si="10"/>
        <v>0</v>
      </c>
      <c r="Y233" s="270"/>
      <c r="Z233" s="270"/>
      <c r="AB233" s="272" t="str">
        <f t="shared" si="11"/>
        <v>TinPT Bangka Prima Tin</v>
      </c>
    </row>
    <row r="234" spans="1:28" s="271" customFormat="1" ht="33.75" customHeight="1">
      <c r="A234" s="215" t="s">
        <v>2635</v>
      </c>
      <c r="B234" s="216" t="s">
        <v>1250</v>
      </c>
      <c r="C234" s="220" t="s">
        <v>2632</v>
      </c>
      <c r="D234" s="216"/>
      <c r="E234" s="216" t="s">
        <v>1221</v>
      </c>
      <c r="F234" s="216" t="s">
        <v>2635</v>
      </c>
      <c r="G234" s="216" t="s">
        <v>14357</v>
      </c>
      <c r="H234" s="217">
        <v>0</v>
      </c>
      <c r="I234" s="218" t="s">
        <v>2021</v>
      </c>
      <c r="J234" s="218" t="s">
        <v>4933</v>
      </c>
      <c r="K234" s="267"/>
      <c r="L234" s="267"/>
      <c r="M234" s="267"/>
      <c r="N234" s="267"/>
      <c r="O234" s="267"/>
      <c r="P234" s="219"/>
      <c r="Q234" s="268"/>
      <c r="R234" s="216" t="str">
        <f ca="1">IF(ISERROR($V234),"",OFFSET('Smelter Look-up'!$C$4,$V234-4,0)&amp;"")</f>
        <v>SAXONIA Edelmetalle GmbH</v>
      </c>
      <c r="S234" s="224" t="str">
        <f t="shared" ca="1" si="9"/>
        <v>DE</v>
      </c>
      <c r="T234" s="224" t="str">
        <f ca="1">IF(B234="","",IF(ISERROR(MATCH($J234,SorP!$B$1:$B$6230,0)),"",INDIRECT("'SorP'!$A$"&amp;MATCH($J234,SorP!$B$1:$B$6230,0))))</f>
        <v>DE-SN</v>
      </c>
      <c r="U234" s="239"/>
      <c r="V234" s="269">
        <f>IF(C234="",NA(),MATCH($B234&amp;$C234,'Smelter Look-up'!$J:$J,0))</f>
        <v>204</v>
      </c>
      <c r="W234" s="270"/>
      <c r="X234" s="270">
        <f t="shared" si="10"/>
        <v>0</v>
      </c>
      <c r="Y234" s="270"/>
      <c r="Z234" s="270"/>
      <c r="AB234" s="272" t="str">
        <f t="shared" si="11"/>
        <v>GoldSAXONIA Edelmetalle GmbH</v>
      </c>
    </row>
    <row r="235" spans="1:28" s="271" customFormat="1" ht="33.75" customHeight="1">
      <c r="A235" s="215" t="s">
        <v>2636</v>
      </c>
      <c r="B235" s="216" t="s">
        <v>1250</v>
      </c>
      <c r="C235" s="220" t="s">
        <v>2633</v>
      </c>
      <c r="D235" s="216"/>
      <c r="E235" s="216" t="s">
        <v>1221</v>
      </c>
      <c r="F235" s="216" t="s">
        <v>2636</v>
      </c>
      <c r="G235" s="216" t="s">
        <v>14357</v>
      </c>
      <c r="H235" s="217">
        <v>0</v>
      </c>
      <c r="I235" s="218" t="s">
        <v>1779</v>
      </c>
      <c r="J235" s="218" t="s">
        <v>1780</v>
      </c>
      <c r="K235" s="267"/>
      <c r="L235" s="267"/>
      <c r="M235" s="267"/>
      <c r="N235" s="267"/>
      <c r="O235" s="267"/>
      <c r="P235" s="219"/>
      <c r="Q235" s="268"/>
      <c r="R235" s="216" t="str">
        <f ca="1">IF(ISERROR($V235),"",OFFSET('Smelter Look-up'!$C$4,$V235-4,0)&amp;"")</f>
        <v>WIELAND Edelmetalle GmbH</v>
      </c>
      <c r="S235" s="224" t="str">
        <f t="shared" ca="1" si="9"/>
        <v>DE</v>
      </c>
      <c r="T235" s="224" t="str">
        <f ca="1">IF(B235="","",IF(ISERROR(MATCH($J235,SorP!$B$1:$B$6230,0)),"",INDIRECT("'SorP'!$A$"&amp;MATCH($J235,SorP!$B$1:$B$6230,0))))</f>
        <v>DE-BW</v>
      </c>
      <c r="U235" s="239"/>
      <c r="V235" s="269">
        <f>IF(C235="",NA(),MATCH($B235&amp;$C235,'Smelter Look-up'!$J:$J,0))</f>
        <v>263</v>
      </c>
      <c r="W235" s="270"/>
      <c r="X235" s="270">
        <f t="shared" si="10"/>
        <v>0</v>
      </c>
      <c r="Y235" s="270"/>
      <c r="Z235" s="270"/>
      <c r="AB235" s="272" t="str">
        <f t="shared" si="11"/>
        <v>GoldWIELAND Edelmetalle GmbH</v>
      </c>
    </row>
    <row r="236" spans="1:28" s="271" customFormat="1" ht="33.75" customHeight="1">
      <c r="A236" s="215" t="s">
        <v>2637</v>
      </c>
      <c r="B236" s="216" t="s">
        <v>1250</v>
      </c>
      <c r="C236" s="220" t="s">
        <v>13323</v>
      </c>
      <c r="D236" s="216"/>
      <c r="E236" s="216" t="s">
        <v>1214</v>
      </c>
      <c r="F236" s="216" t="s">
        <v>2637</v>
      </c>
      <c r="G236" s="216" t="s">
        <v>14357</v>
      </c>
      <c r="H236" s="217"/>
      <c r="I236" s="218" t="s">
        <v>2638</v>
      </c>
      <c r="J236" s="218" t="s">
        <v>3503</v>
      </c>
      <c r="K236" s="267"/>
      <c r="L236" s="267"/>
      <c r="M236" s="267"/>
      <c r="N236" s="267"/>
      <c r="O236" s="267"/>
      <c r="P236" s="219"/>
      <c r="Q236" s="268"/>
      <c r="R236" s="216" t="str">
        <f ca="1">IF(ISERROR($V236),"",OFFSET('Smelter Look-up'!$C$4,$V236-4,0)&amp;"")</f>
        <v>Ogussa Osterreichische Gold- und Silber-Scheideanstalt GmbH</v>
      </c>
      <c r="S236" s="224" t="str">
        <f t="shared" ca="1" si="9"/>
        <v>AT</v>
      </c>
      <c r="T236" s="224" t="str">
        <f ca="1">IF(B236="","",IF(ISERROR(MATCH($J236,SorP!$B$1:$B$6230,0)),"",INDIRECT("'SorP'!$A$"&amp;MATCH($J236,SorP!$B$1:$B$6230,0))))</f>
        <v>AT-9</v>
      </c>
      <c r="U236" s="239"/>
      <c r="V236" s="269">
        <f>IF(C236="",NA(),MATCH($B236&amp;$C236,'Smelter Look-up'!$J:$J,0))</f>
        <v>170</v>
      </c>
      <c r="W236" s="270"/>
      <c r="X236" s="270">
        <f t="shared" si="10"/>
        <v>0</v>
      </c>
      <c r="Y236" s="270"/>
      <c r="Z236" s="270"/>
      <c r="AB236" s="272" t="str">
        <f t="shared" si="11"/>
        <v>GoldOgussa Osterreichische Gold- und Silber-Scheideanstalt GmbH</v>
      </c>
    </row>
    <row r="237" spans="1:28" s="271" customFormat="1" ht="33.75" customHeight="1">
      <c r="A237" s="215" t="s">
        <v>2727</v>
      </c>
      <c r="B237" s="216" t="s">
        <v>1253</v>
      </c>
      <c r="C237" s="220" t="s">
        <v>2726</v>
      </c>
      <c r="D237" s="216"/>
      <c r="E237" s="216" t="s">
        <v>1220</v>
      </c>
      <c r="F237" s="216" t="s">
        <v>2727</v>
      </c>
      <c r="G237" s="216" t="s">
        <v>14357</v>
      </c>
      <c r="H237" s="217">
        <v>0</v>
      </c>
      <c r="I237" s="218" t="s">
        <v>1986</v>
      </c>
      <c r="J237" s="218" t="s">
        <v>15237</v>
      </c>
      <c r="K237" s="267"/>
      <c r="L237" s="267"/>
      <c r="M237" s="267"/>
      <c r="N237" s="267"/>
      <c r="O237" s="267"/>
      <c r="P237" s="219"/>
      <c r="Q237" s="268"/>
      <c r="R237" s="216" t="str">
        <f ca="1">IF(ISERROR($V237),"",OFFSET('Smelter Look-up'!$C$4,$V237-4,0)&amp;"")</f>
        <v>South-East Nonferrous Metal Company Limited of Hengyang City</v>
      </c>
      <c r="S237" s="224" t="str">
        <f t="shared" ca="1" si="9"/>
        <v>CN</v>
      </c>
      <c r="T237" s="224" t="str">
        <f ca="1">IF(B237="","",IF(ISERROR(MATCH($J237,SorP!$B$1:$B$6230,0)),"",INDIRECT("'SorP'!$A$"&amp;MATCH($J237,SorP!$B$1:$B$6230,0))))</f>
        <v>CN-HN</v>
      </c>
      <c r="U237" s="239"/>
      <c r="V237" s="269">
        <f>IF(C237="",NA(),MATCH($B237&amp;$C237,'Smelter Look-up'!$J:$J,0))</f>
        <v>572</v>
      </c>
      <c r="W237" s="270"/>
      <c r="X237" s="270">
        <f t="shared" si="10"/>
        <v>0</v>
      </c>
      <c r="Y237" s="270"/>
      <c r="Z237" s="270"/>
      <c r="AB237" s="272" t="str">
        <f t="shared" si="11"/>
        <v>TungstenSouth-East Nonferrous Metal Company Limited of Hengyang City</v>
      </c>
    </row>
    <row r="238" spans="1:28" s="271" customFormat="1" ht="33.75" customHeight="1">
      <c r="A238" s="215" t="s">
        <v>2677</v>
      </c>
      <c r="B238" s="216" t="s">
        <v>1251</v>
      </c>
      <c r="C238" s="220" t="s">
        <v>2676</v>
      </c>
      <c r="D238" s="216"/>
      <c r="E238" s="216" t="s">
        <v>1225</v>
      </c>
      <c r="F238" s="216" t="s">
        <v>2677</v>
      </c>
      <c r="G238" s="216" t="s">
        <v>14357</v>
      </c>
      <c r="H238" s="217">
        <v>0</v>
      </c>
      <c r="I238" s="218" t="s">
        <v>14026</v>
      </c>
      <c r="J238" s="218" t="s">
        <v>13917</v>
      </c>
      <c r="K238" s="267"/>
      <c r="L238" s="267"/>
      <c r="M238" s="267"/>
      <c r="N238" s="267"/>
      <c r="O238" s="267"/>
      <c r="P238" s="219"/>
      <c r="Q238" s="268"/>
      <c r="R238" s="216" t="str">
        <f ca="1">IF(ISERROR($V238),"",OFFSET('Smelter Look-up'!$C$4,$V238-4,0)&amp;"")</f>
        <v>PT Sukses Inti Makmur</v>
      </c>
      <c r="S238" s="224" t="str">
        <f t="shared" ca="1" si="9"/>
        <v>ID</v>
      </c>
      <c r="T238" s="224" t="str">
        <f ca="1">IF(B238="","",IF(ISERROR(MATCH($J238,SorP!$B$1:$B$6230,0)),"",INDIRECT("'SorP'!$A$"&amp;MATCH($J238,SorP!$B$1:$B$6230,0))))</f>
        <v>ID-BB</v>
      </c>
      <c r="U238" s="239"/>
      <c r="V238" s="269">
        <f>IF(C238="",NA(),MATCH($B238&amp;$C238,'Smelter Look-up'!$J:$J,0))</f>
        <v>469</v>
      </c>
      <c r="W238" s="270"/>
      <c r="X238" s="270">
        <f t="shared" si="10"/>
        <v>0</v>
      </c>
      <c r="Y238" s="270"/>
      <c r="Z238" s="270"/>
      <c r="AB238" s="272" t="str">
        <f t="shared" si="11"/>
        <v>TinPT Sukses Inti Makmur</v>
      </c>
    </row>
    <row r="239" spans="1:28" s="271" customFormat="1" ht="33.75" customHeight="1">
      <c r="A239" s="215" t="s">
        <v>2723</v>
      </c>
      <c r="B239" s="216" t="s">
        <v>1253</v>
      </c>
      <c r="C239" s="220" t="s">
        <v>2974</v>
      </c>
      <c r="D239" s="216"/>
      <c r="E239" s="216" t="s">
        <v>997</v>
      </c>
      <c r="F239" s="216" t="s">
        <v>2723</v>
      </c>
      <c r="G239" s="216" t="s">
        <v>14357</v>
      </c>
      <c r="H239" s="217">
        <v>0</v>
      </c>
      <c r="I239" s="218" t="s">
        <v>2724</v>
      </c>
      <c r="J239" s="218" t="s">
        <v>2725</v>
      </c>
      <c r="K239" s="267"/>
      <c r="L239" s="267"/>
      <c r="M239" s="267"/>
      <c r="N239" s="267"/>
      <c r="O239" s="267"/>
      <c r="P239" s="219"/>
      <c r="Q239" s="268"/>
      <c r="R239" s="216" t="str">
        <f ca="1">IF(ISERROR($V239),"",OFFSET('Smelter Look-up'!$C$4,$V239-4,0)&amp;"")</f>
        <v>Philippine Chuangxin Industrial Co., Inc.</v>
      </c>
      <c r="S239" s="224" t="str">
        <f t="shared" ca="1" si="9"/>
        <v>PH</v>
      </c>
      <c r="T239" s="224" t="str">
        <f ca="1">IF(B239="","",IF(ISERROR(MATCH($J239,SorP!$B$1:$B$6230,0)),"",INDIRECT("'SorP'!$A$"&amp;MATCH($J239,SorP!$B$1:$B$6230,0))))</f>
        <v>PH-BUL</v>
      </c>
      <c r="U239" s="239"/>
      <c r="V239" s="269">
        <f>IF(C239="",NA(),MATCH($B239&amp;$C239,'Smelter Look-up'!$J:$J,0))</f>
        <v>570</v>
      </c>
      <c r="W239" s="270"/>
      <c r="X239" s="270">
        <f t="shared" si="10"/>
        <v>0</v>
      </c>
      <c r="Y239" s="270"/>
      <c r="Z239" s="270"/>
      <c r="AB239" s="272" t="str">
        <f t="shared" si="11"/>
        <v>TungstenPhilippine Chuangxin Industrial Co., Inc.</v>
      </c>
    </row>
    <row r="240" spans="1:28" s="271" customFormat="1" ht="27" customHeight="1">
      <c r="A240" s="215" t="s">
        <v>2713</v>
      </c>
      <c r="B240" s="216" t="s">
        <v>1251</v>
      </c>
      <c r="C240" s="220" t="s">
        <v>2712</v>
      </c>
      <c r="D240" s="216"/>
      <c r="E240" s="216" t="s">
        <v>1225</v>
      </c>
      <c r="F240" s="216" t="s">
        <v>2713</v>
      </c>
      <c r="G240" s="216" t="s">
        <v>15499</v>
      </c>
      <c r="H240" s="217" t="s">
        <v>15499</v>
      </c>
      <c r="I240" s="218" t="s">
        <v>15499</v>
      </c>
      <c r="J240" s="218" t="s">
        <v>15499</v>
      </c>
      <c r="K240" s="267"/>
      <c r="L240" s="267"/>
      <c r="M240" s="267"/>
      <c r="N240" s="267"/>
      <c r="O240" s="267"/>
      <c r="P240" s="219"/>
      <c r="Q240" s="268"/>
      <c r="R240" s="216" t="str">
        <f ca="1">IF(ISERROR($V240),"",OFFSET('Smelter Look-up'!$C$4,$V240-4,0)&amp;"")</f>
        <v>PT Kijang Jaya Mandiri</v>
      </c>
      <c r="S240" s="224" t="str">
        <f t="shared" ca="1" si="9"/>
        <v>ID</v>
      </c>
      <c r="T240" s="224" t="str">
        <f ca="1">IF(B240="","",IF(ISERROR(MATCH($J240,SorP!$B$1:$B$6230,0)),"",INDIRECT("'SorP'!$A$"&amp;MATCH($J240,SorP!$B$1:$B$6230,0))))</f>
        <v/>
      </c>
      <c r="U240" s="239"/>
      <c r="V240" s="269">
        <f>IF(C240="",NA(),MATCH($B240&amp;$C240,'Smelter Look-up'!$J:$J,0))</f>
        <v>458</v>
      </c>
      <c r="W240" s="270"/>
      <c r="X240" s="270">
        <f t="shared" si="10"/>
        <v>0</v>
      </c>
      <c r="Y240" s="270"/>
      <c r="Z240" s="270"/>
      <c r="AB240" s="272" t="str">
        <f t="shared" si="11"/>
        <v>TinPT Kijang Jaya Mandiri</v>
      </c>
    </row>
    <row r="241" spans="1:28" s="271" customFormat="1" ht="23.25" customHeight="1">
      <c r="A241" s="215" t="s">
        <v>2731</v>
      </c>
      <c r="B241" s="216" t="s">
        <v>1253</v>
      </c>
      <c r="C241" s="220" t="s">
        <v>2730</v>
      </c>
      <c r="D241" s="216"/>
      <c r="E241" s="216" t="s">
        <v>1220</v>
      </c>
      <c r="F241" s="216" t="s">
        <v>2731</v>
      </c>
      <c r="G241" s="216" t="s">
        <v>14357</v>
      </c>
      <c r="H241" s="217">
        <v>0</v>
      </c>
      <c r="I241" s="218" t="s">
        <v>2024</v>
      </c>
      <c r="J241" s="218" t="s">
        <v>15233</v>
      </c>
      <c r="K241" s="267"/>
      <c r="L241" s="267"/>
      <c r="M241" s="267"/>
      <c r="N241" s="267"/>
      <c r="O241" s="267"/>
      <c r="P241" s="219"/>
      <c r="Q241" s="268"/>
      <c r="R241" s="216" t="str">
        <f ca="1">IF(ISERROR($V241),"",OFFSET('Smelter Look-up'!$C$4,$V241-4,0)&amp;"")</f>
        <v>Xinfeng Huarui Tungsten &amp; Molybdenum New Material Co., Ltd.</v>
      </c>
      <c r="S241" s="224" t="str">
        <f t="shared" ca="1" si="9"/>
        <v>CN</v>
      </c>
      <c r="T241" s="224" t="str">
        <f ca="1">IF(B241="","",IF(ISERROR(MATCH($J241,SorP!$B$1:$B$6230,0)),"",INDIRECT("'SorP'!$A$"&amp;MATCH($J241,SorP!$B$1:$B$6230,0))))</f>
        <v>CN-JX</v>
      </c>
      <c r="U241" s="239"/>
      <c r="V241" s="269">
        <f>IF(C241="",NA(),MATCH($B241&amp;$C241,'Smelter Look-up'!$J:$J,0))</f>
        <v>583</v>
      </c>
      <c r="W241" s="270"/>
      <c r="X241" s="270">
        <f t="shared" si="10"/>
        <v>0</v>
      </c>
      <c r="Y241" s="270"/>
      <c r="Z241" s="270"/>
      <c r="AB241" s="272" t="str">
        <f t="shared" si="11"/>
        <v>TungstenXinfeng Huarui Tungsten &amp; Molybdenum New Material Co., Ltd.</v>
      </c>
    </row>
    <row r="242" spans="1:28" s="271" customFormat="1" ht="29.25" customHeight="1">
      <c r="A242" s="215" t="s">
        <v>2715</v>
      </c>
      <c r="B242" s="216" t="s">
        <v>1253</v>
      </c>
      <c r="C242" s="220" t="s">
        <v>2714</v>
      </c>
      <c r="D242" s="216"/>
      <c r="E242" s="216" t="s">
        <v>1216</v>
      </c>
      <c r="F242" s="216" t="s">
        <v>2715</v>
      </c>
      <c r="G242" s="216" t="s">
        <v>14357</v>
      </c>
      <c r="H242" s="217">
        <v>0</v>
      </c>
      <c r="I242" s="218" t="s">
        <v>2716</v>
      </c>
      <c r="J242" s="218" t="s">
        <v>1916</v>
      </c>
      <c r="K242" s="267"/>
      <c r="L242" s="267"/>
      <c r="M242" s="267"/>
      <c r="N242" s="267"/>
      <c r="O242" s="267"/>
      <c r="P242" s="219"/>
      <c r="Q242" s="268"/>
      <c r="R242" s="216" t="str">
        <f ca="1">IF(ISERROR($V242),"",OFFSET('Smelter Look-up'!$C$4,$V242-4,0)&amp;"")</f>
        <v>ACL Metais Eireli</v>
      </c>
      <c r="S242" s="224" t="str">
        <f t="shared" ca="1" si="9"/>
        <v>BR</v>
      </c>
      <c r="T242" s="224" t="str">
        <f ca="1">IF(B242="","",IF(ISERROR(MATCH($J242,SorP!$B$1:$B$6230,0)),"",INDIRECT("'SorP'!$A$"&amp;MATCH($J242,SorP!$B$1:$B$6230,0))))</f>
        <v>BR-SP</v>
      </c>
      <c r="U242" s="239"/>
      <c r="V242" s="269">
        <f>IF(C242="",NA(),MATCH($B242&amp;$C242,'Smelter Look-up'!$J:$J,0))</f>
        <v>518</v>
      </c>
      <c r="W242" s="270"/>
      <c r="X242" s="270">
        <f t="shared" si="10"/>
        <v>0</v>
      </c>
      <c r="Y242" s="270"/>
      <c r="Z242" s="270"/>
      <c r="AB242" s="272" t="str">
        <f t="shared" si="11"/>
        <v>TungstenACL Metais Eireli</v>
      </c>
    </row>
    <row r="243" spans="1:28" s="271" customFormat="1" ht="24" customHeight="1">
      <c r="A243" s="215" t="s">
        <v>15434</v>
      </c>
      <c r="B243" s="216" t="s">
        <v>1251</v>
      </c>
      <c r="C243" s="220" t="s">
        <v>15433</v>
      </c>
      <c r="D243" s="216"/>
      <c r="E243" s="216" t="s">
        <v>1008</v>
      </c>
      <c r="F243" s="216" t="s">
        <v>15434</v>
      </c>
      <c r="G243" s="216" t="s">
        <v>14357</v>
      </c>
      <c r="H243" s="217">
        <v>0</v>
      </c>
      <c r="I243" s="218" t="s">
        <v>15463</v>
      </c>
      <c r="J243" s="218" t="s">
        <v>13006</v>
      </c>
      <c r="K243" s="267"/>
      <c r="L243" s="267"/>
      <c r="M243" s="267"/>
      <c r="N243" s="267"/>
      <c r="O243" s="267"/>
      <c r="P243" s="219"/>
      <c r="Q243" s="268"/>
      <c r="R243" s="216" t="str">
        <f ca="1">IF(ISERROR($V243),"",OFFSET('Smelter Look-up'!$C$4,$V243-4,0)&amp;"")</f>
        <v>Thai Nguyen Mining and Metallurgy Co., Ltd.</v>
      </c>
      <c r="S243" s="224" t="str">
        <f t="shared" ca="1" si="9"/>
        <v>VN</v>
      </c>
      <c r="T243" s="224" t="str">
        <f ca="1">IF(B243="","",IF(ISERROR(MATCH($J243,SorP!$B$1:$B$6230,0)),"",INDIRECT("'SorP'!$A$"&amp;MATCH($J243,SorP!$B$1:$B$6230,0))))</f>
        <v>VN-69</v>
      </c>
      <c r="U243" s="239"/>
      <c r="V243" s="269">
        <f>IF(C243="",NA(),MATCH($B243&amp;$C243,'Smelter Look-up'!$J:$J,0))</f>
        <v>485</v>
      </c>
      <c r="W243" s="270"/>
      <c r="X243" s="270">
        <f t="shared" si="10"/>
        <v>0</v>
      </c>
      <c r="Y243" s="270"/>
      <c r="Z243" s="270"/>
      <c r="AB243" s="272" t="str">
        <f t="shared" si="11"/>
        <v>TinThai Nguyen Mining and Metallurgy Co., Ltd.</v>
      </c>
    </row>
    <row r="244" spans="1:28" s="271" customFormat="1" ht="33.75" customHeight="1">
      <c r="A244" s="215" t="s">
        <v>3111</v>
      </c>
      <c r="B244" s="216" t="s">
        <v>1251</v>
      </c>
      <c r="C244" s="220" t="s">
        <v>3110</v>
      </c>
      <c r="D244" s="216"/>
      <c r="E244" s="216" t="s">
        <v>1225</v>
      </c>
      <c r="F244" s="216" t="s">
        <v>3111</v>
      </c>
      <c r="G244" s="216" t="s">
        <v>14357</v>
      </c>
      <c r="H244" s="217">
        <v>0</v>
      </c>
      <c r="I244" s="218" t="s">
        <v>14025</v>
      </c>
      <c r="J244" s="218" t="s">
        <v>13917</v>
      </c>
      <c r="K244" s="267"/>
      <c r="L244" s="267"/>
      <c r="M244" s="267"/>
      <c r="N244" s="267"/>
      <c r="O244" s="267"/>
      <c r="P244" s="219"/>
      <c r="Q244" s="268"/>
      <c r="R244" s="216" t="str">
        <f ca="1">IF(ISERROR($V244),"",OFFSET('Smelter Look-up'!$C$4,$V244-4,0)&amp;"")</f>
        <v>PT Menara Cipta Mulia</v>
      </c>
      <c r="S244" s="224" t="str">
        <f t="shared" ca="1" si="9"/>
        <v>ID</v>
      </c>
      <c r="T244" s="224" t="str">
        <f ca="1">IF(B244="","",IF(ISERROR(MATCH($J244,SorP!$B$1:$B$6230,0)),"",INDIRECT("'SorP'!$A$"&amp;MATCH($J244,SorP!$B$1:$B$6230,0))))</f>
        <v>ID-BB</v>
      </c>
      <c r="U244" s="239"/>
      <c r="V244" s="269">
        <f>IF(C244="",NA(),MATCH($B244&amp;$C244,'Smelter Look-up'!$J:$J,0))</f>
        <v>459</v>
      </c>
      <c r="W244" s="270"/>
      <c r="X244" s="270">
        <f t="shared" si="10"/>
        <v>0</v>
      </c>
      <c r="Y244" s="270"/>
      <c r="Z244" s="270"/>
      <c r="AB244" s="272" t="str">
        <f t="shared" si="11"/>
        <v>TinPT Menara Cipta Mulia</v>
      </c>
    </row>
    <row r="245" spans="1:28" s="271" customFormat="1" ht="30" customHeight="1">
      <c r="A245" s="215" t="s">
        <v>2720</v>
      </c>
      <c r="B245" s="216" t="s">
        <v>1252</v>
      </c>
      <c r="C245" s="220" t="s">
        <v>2719</v>
      </c>
      <c r="D245" s="216"/>
      <c r="E245" s="216" t="s">
        <v>1220</v>
      </c>
      <c r="F245" s="216" t="s">
        <v>2720</v>
      </c>
      <c r="G245" s="216" t="s">
        <v>14357</v>
      </c>
      <c r="H245" s="217">
        <v>0</v>
      </c>
      <c r="I245" s="218" t="s">
        <v>1985</v>
      </c>
      <c r="J245" s="218" t="s">
        <v>15233</v>
      </c>
      <c r="K245" s="267"/>
      <c r="L245" s="267"/>
      <c r="M245" s="267"/>
      <c r="N245" s="267"/>
      <c r="O245" s="267"/>
      <c r="P245" s="219"/>
      <c r="Q245" s="268"/>
      <c r="R245" s="216" t="str">
        <f ca="1">IF(ISERROR($V245),"",OFFSET('Smelter Look-up'!$C$4,$V245-4,0)&amp;"")</f>
        <v>Jiangxi Tuohong New Raw Material</v>
      </c>
      <c r="S245" s="224" t="str">
        <f t="shared" ca="1" si="9"/>
        <v>CN</v>
      </c>
      <c r="T245" s="224" t="str">
        <f ca="1">IF(B245="","",IF(ISERROR(MATCH($J245,SorP!$B$1:$B$6230,0)),"",INDIRECT("'SorP'!$A$"&amp;MATCH($J245,SorP!$B$1:$B$6230,0))))</f>
        <v>CN-JX</v>
      </c>
      <c r="U245" s="239"/>
      <c r="V245" s="269">
        <f>IF(C245="",NA(),MATCH($B245&amp;$C245,'Smelter Look-up'!$J:$J,0))</f>
        <v>308</v>
      </c>
      <c r="W245" s="270"/>
      <c r="X245" s="270">
        <f t="shared" si="10"/>
        <v>0</v>
      </c>
      <c r="Y245" s="270"/>
      <c r="Z245" s="270"/>
      <c r="AB245" s="272" t="str">
        <f t="shared" si="11"/>
        <v>TantalumJiangxi Tuohong New Raw Material</v>
      </c>
    </row>
    <row r="246" spans="1:28" s="271" customFormat="1" ht="30" customHeight="1">
      <c r="A246" s="215" t="s">
        <v>2729</v>
      </c>
      <c r="B246" s="216" t="s">
        <v>1253</v>
      </c>
      <c r="C246" s="220" t="s">
        <v>2728</v>
      </c>
      <c r="D246" s="216"/>
      <c r="E246" s="216" t="s">
        <v>1231</v>
      </c>
      <c r="F246" s="216" t="s">
        <v>2729</v>
      </c>
      <c r="G246" s="216" t="s">
        <v>14357</v>
      </c>
      <c r="H246" s="217">
        <v>0</v>
      </c>
      <c r="I246" s="218" t="s">
        <v>14027</v>
      </c>
      <c r="J246" s="218" t="s">
        <v>13937</v>
      </c>
      <c r="K246" s="267"/>
      <c r="L246" s="267"/>
      <c r="M246" s="267"/>
      <c r="N246" s="267"/>
      <c r="O246" s="267"/>
      <c r="P246" s="219"/>
      <c r="Q246" s="268"/>
      <c r="R246" s="216" t="str">
        <f ca="1">IF(ISERROR($V246),"",OFFSET('Smelter Look-up'!$C$4,$V246-4,0)&amp;"")</f>
        <v>Woltech Korea Co., Ltd.</v>
      </c>
      <c r="S246" s="224" t="str">
        <f t="shared" ca="1" si="9"/>
        <v>KR</v>
      </c>
      <c r="T246" s="224" t="str">
        <f ca="1">IF(B246="","",IF(ISERROR(MATCH($J246,SorP!$B$1:$B$6230,0)),"",INDIRECT("'SorP'!$A$"&amp;MATCH($J246,SorP!$B$1:$B$6230,0))))</f>
        <v>KR-47</v>
      </c>
      <c r="U246" s="239"/>
      <c r="V246" s="269">
        <f>IF(C246="",NA(),MATCH($B246&amp;$C246,'Smelter Look-up'!$J:$J,0))</f>
        <v>579</v>
      </c>
      <c r="W246" s="270"/>
      <c r="X246" s="270">
        <f t="shared" si="10"/>
        <v>0</v>
      </c>
      <c r="Y246" s="270"/>
      <c r="Z246" s="270"/>
      <c r="AB246" s="272" t="str">
        <f t="shared" si="11"/>
        <v>TungstenWoltech Korea Co., Ltd.</v>
      </c>
    </row>
    <row r="247" spans="1:28" s="271" customFormat="1" ht="30" customHeight="1">
      <c r="A247" s="215" t="s">
        <v>2737</v>
      </c>
      <c r="B247" s="216" t="s">
        <v>1251</v>
      </c>
      <c r="C247" s="220" t="s">
        <v>2736</v>
      </c>
      <c r="D247" s="216"/>
      <c r="E247" s="216" t="s">
        <v>1220</v>
      </c>
      <c r="F247" s="216" t="s">
        <v>2737</v>
      </c>
      <c r="G247" s="216" t="s">
        <v>14357</v>
      </c>
      <c r="H247" s="217">
        <v>0</v>
      </c>
      <c r="I247" s="218" t="s">
        <v>2024</v>
      </c>
      <c r="J247" s="218" t="s">
        <v>15233</v>
      </c>
      <c r="K247" s="267"/>
      <c r="L247" s="267"/>
      <c r="M247" s="267"/>
      <c r="N247" s="267"/>
      <c r="O247" s="267"/>
      <c r="P247" s="219"/>
      <c r="Q247" s="268"/>
      <c r="R247" s="216" t="str">
        <f ca="1">IF(ISERROR($V247),"",OFFSET('Smelter Look-up'!$C$4,$V247-4,0)&amp;"")</f>
        <v>HuiChang Hill Tin Industry Co., Ltd.</v>
      </c>
      <c r="S247" s="224" t="str">
        <f t="shared" ca="1" si="9"/>
        <v>CN</v>
      </c>
      <c r="T247" s="224" t="str">
        <f ca="1">IF(B247="","",IF(ISERROR(MATCH($J247,SorP!$B$1:$B$6230,0)),"",INDIRECT("'SorP'!$A$"&amp;MATCH($J247,SorP!$B$1:$B$6230,0))))</f>
        <v>CN-JX</v>
      </c>
      <c r="U247" s="239"/>
      <c r="V247" s="269">
        <f>IF(C247="",NA(),MATCH($B247&amp;$C247,'Smelter Look-up'!$J:$J,0))</f>
        <v>403</v>
      </c>
      <c r="W247" s="270"/>
      <c r="X247" s="270">
        <f t="shared" si="10"/>
        <v>0</v>
      </c>
      <c r="Y247" s="270"/>
      <c r="Z247" s="270"/>
      <c r="AB247" s="272" t="str">
        <f t="shared" si="11"/>
        <v>TinHuiChang Hill Tin Industry Co., Ltd.</v>
      </c>
    </row>
    <row r="248" spans="1:28" s="271" customFormat="1" ht="30" customHeight="1">
      <c r="A248" s="215" t="s">
        <v>2721</v>
      </c>
      <c r="B248" s="216" t="s">
        <v>1253</v>
      </c>
      <c r="C248" s="220" t="s">
        <v>3234</v>
      </c>
      <c r="D248" s="216"/>
      <c r="E248" s="216" t="s">
        <v>999</v>
      </c>
      <c r="F248" s="216" t="s">
        <v>2721</v>
      </c>
      <c r="G248" s="216" t="s">
        <v>14357</v>
      </c>
      <c r="H248" s="217">
        <v>0</v>
      </c>
      <c r="I248" s="218" t="s">
        <v>2722</v>
      </c>
      <c r="J248" s="218" t="s">
        <v>10831</v>
      </c>
      <c r="K248" s="267"/>
      <c r="L248" s="267"/>
      <c r="M248" s="267"/>
      <c r="N248" s="267"/>
      <c r="O248" s="267"/>
      <c r="P248" s="219"/>
      <c r="Q248" s="268"/>
      <c r="R248" s="216" t="str">
        <f ca="1">IF(ISERROR($V248),"",OFFSET('Smelter Look-up'!$C$4,$V248-4,0)&amp;"")</f>
        <v>Moliren Ltd.</v>
      </c>
      <c r="S248" s="224" t="str">
        <f t="shared" ca="1" si="9"/>
        <v>RU</v>
      </c>
      <c r="T248" s="224" t="str">
        <f ca="1">IF(B248="","",IF(ISERROR(MATCH($J248,SorP!$B$1:$B$6230,0)),"",INDIRECT("'SorP'!$A$"&amp;MATCH($J248,SorP!$B$1:$B$6230,0))))</f>
        <v>RU-MOS</v>
      </c>
      <c r="U248" s="239"/>
      <c r="V248" s="269">
        <f>IF(C248="",NA(),MATCH($B248&amp;$C248,'Smelter Look-up'!$J:$J,0))</f>
        <v>567</v>
      </c>
      <c r="W248" s="270"/>
      <c r="X248" s="270">
        <f t="shared" si="10"/>
        <v>0</v>
      </c>
      <c r="Y248" s="270"/>
      <c r="Z248" s="270"/>
      <c r="AB248" s="272" t="str">
        <f t="shared" si="11"/>
        <v>TungstenMoliren Ltd.</v>
      </c>
    </row>
    <row r="249" spans="1:28" s="271" customFormat="1" ht="30" customHeight="1">
      <c r="A249" s="215" t="s">
        <v>2962</v>
      </c>
      <c r="B249" s="216" t="s">
        <v>1252</v>
      </c>
      <c r="C249" s="220" t="s">
        <v>2997</v>
      </c>
      <c r="D249" s="216"/>
      <c r="E249" s="216" t="s">
        <v>3246</v>
      </c>
      <c r="F249" s="216" t="s">
        <v>2962</v>
      </c>
      <c r="G249" s="216" t="s">
        <v>14357</v>
      </c>
      <c r="H249" s="217">
        <v>0</v>
      </c>
      <c r="I249" s="218" t="s">
        <v>2982</v>
      </c>
      <c r="J249" s="218" t="s">
        <v>2982</v>
      </c>
      <c r="K249" s="267"/>
      <c r="L249" s="267"/>
      <c r="M249" s="267"/>
      <c r="N249" s="267"/>
      <c r="O249" s="267"/>
      <c r="P249" s="219"/>
      <c r="Q249" s="268"/>
      <c r="R249" s="216" t="str">
        <f ca="1">IF(ISERROR($V249),"",OFFSET('Smelter Look-up'!$C$4,$V249-4,0)&amp;"")</f>
        <v>Power Resources Ltd.</v>
      </c>
      <c r="S249" s="224" t="str">
        <f t="shared" ca="1" si="9"/>
        <v>MK</v>
      </c>
      <c r="T249" s="224" t="str">
        <f ca="1">IF(B249="","",IF(ISERROR(MATCH($J249,SorP!$B$1:$B$6230,0)),"",INDIRECT("'SorP'!$A$"&amp;MATCH($J249,SorP!$B$1:$B$6230,0))))</f>
        <v>MK-85</v>
      </c>
      <c r="U249" s="239"/>
      <c r="V249" s="269">
        <f>IF(C249="",NA(),MATCH($B249&amp;$C249,'Smelter Look-up'!$J:$J,0))</f>
        <v>328</v>
      </c>
      <c r="W249" s="270"/>
      <c r="X249" s="270">
        <f t="shared" si="10"/>
        <v>0</v>
      </c>
      <c r="Y249" s="270"/>
      <c r="Z249" s="270"/>
      <c r="AB249" s="272" t="str">
        <f t="shared" si="11"/>
        <v>TantalumPower Resources Ltd.</v>
      </c>
    </row>
    <row r="250" spans="1:28" s="271" customFormat="1" ht="30" customHeight="1">
      <c r="A250" s="215" t="s">
        <v>2708</v>
      </c>
      <c r="B250" s="216" t="s">
        <v>1251</v>
      </c>
      <c r="C250" s="220" t="s">
        <v>2965</v>
      </c>
      <c r="D250" s="216"/>
      <c r="E250" s="216" t="s">
        <v>1220</v>
      </c>
      <c r="F250" s="216" t="s">
        <v>2708</v>
      </c>
      <c r="G250" s="216" t="s">
        <v>15499</v>
      </c>
      <c r="H250" s="217" t="s">
        <v>15499</v>
      </c>
      <c r="I250" s="218" t="s">
        <v>15499</v>
      </c>
      <c r="J250" s="218" t="s">
        <v>15499</v>
      </c>
      <c r="K250" s="267"/>
      <c r="L250" s="267"/>
      <c r="M250" s="267"/>
      <c r="N250" s="267"/>
      <c r="O250" s="267"/>
      <c r="P250" s="219"/>
      <c r="Q250" s="268"/>
      <c r="R250" s="216" t="str">
        <f ca="1">IF(ISERROR($V250),"",OFFSET('Smelter Look-up'!$C$4,$V250-4,0)&amp;"")</f>
        <v>Gejiu Fengming Metallurgy Chemical Plant</v>
      </c>
      <c r="S250" s="224" t="str">
        <f t="shared" ca="1" si="9"/>
        <v>CN</v>
      </c>
      <c r="T250" s="224" t="str">
        <f ca="1">IF(B250="","",IF(ISERROR(MATCH($J250,SorP!$B$1:$B$6230,0)),"",INDIRECT("'SorP'!$A$"&amp;MATCH($J250,SorP!$B$1:$B$6230,0))))</f>
        <v/>
      </c>
      <c r="U250" s="239"/>
      <c r="V250" s="269">
        <f>IF(C250="",NA(),MATCH($B250&amp;$C250,'Smelter Look-up'!$J:$J,0))</f>
        <v>390</v>
      </c>
      <c r="W250" s="270"/>
      <c r="X250" s="270">
        <f t="shared" si="10"/>
        <v>0</v>
      </c>
      <c r="Y250" s="270"/>
      <c r="Z250" s="270"/>
      <c r="AB250" s="272" t="str">
        <f t="shared" si="11"/>
        <v>TinGejiu Fengming Metallurgy Chemical Plant</v>
      </c>
    </row>
    <row r="251" spans="1:28" s="271" customFormat="1" ht="30" customHeight="1">
      <c r="A251" s="215" t="s">
        <v>2710</v>
      </c>
      <c r="B251" s="216" t="s">
        <v>1251</v>
      </c>
      <c r="C251" s="220" t="s">
        <v>2709</v>
      </c>
      <c r="D251" s="216"/>
      <c r="E251" s="216" t="s">
        <v>1220</v>
      </c>
      <c r="F251" s="216" t="s">
        <v>2710</v>
      </c>
      <c r="G251" s="216" t="s">
        <v>14357</v>
      </c>
      <c r="H251" s="217">
        <v>0</v>
      </c>
      <c r="I251" s="218" t="s">
        <v>2711</v>
      </c>
      <c r="J251" s="218" t="s">
        <v>15217</v>
      </c>
      <c r="K251" s="267"/>
      <c r="L251" s="267"/>
      <c r="M251" s="267"/>
      <c r="N251" s="267"/>
      <c r="O251" s="267"/>
      <c r="P251" s="219"/>
      <c r="Q251" s="268"/>
      <c r="R251" s="216" t="str">
        <f ca="1">IF(ISERROR($V251),"",OFFSET('Smelter Look-up'!$C$4,$V251-4,0)&amp;"")</f>
        <v>Guanyang Guida Nonferrous Metal Smelting Plant</v>
      </c>
      <c r="S251" s="224" t="str">
        <f t="shared" ca="1" si="9"/>
        <v>CN</v>
      </c>
      <c r="T251" s="224" t="str">
        <f ca="1">IF(B251="","",IF(ISERROR(MATCH($J251,SorP!$B$1:$B$6230,0)),"",INDIRECT("'SorP'!$A$"&amp;MATCH($J251,SorP!$B$1:$B$6230,0))))</f>
        <v>CN-GX</v>
      </c>
      <c r="U251" s="239"/>
      <c r="V251" s="269">
        <f>IF(C251="",NA(),MATCH($B251&amp;$C251,'Smelter Look-up'!$J:$J,0))</f>
        <v>402</v>
      </c>
      <c r="W251" s="270"/>
      <c r="X251" s="270">
        <f t="shared" si="10"/>
        <v>0</v>
      </c>
      <c r="Y251" s="270"/>
      <c r="Z251" s="270"/>
      <c r="AB251" s="272" t="str">
        <f t="shared" si="11"/>
        <v>TinGuanyang Guida Nonferrous Metal Smelting Plant</v>
      </c>
    </row>
    <row r="252" spans="1:28" s="271" customFormat="1" ht="30" customHeight="1">
      <c r="A252" s="215" t="s">
        <v>2910</v>
      </c>
      <c r="B252" s="216" t="s">
        <v>1250</v>
      </c>
      <c r="C252" s="220" t="s">
        <v>2909</v>
      </c>
      <c r="D252" s="216"/>
      <c r="E252" s="216" t="s">
        <v>1009</v>
      </c>
      <c r="F252" s="216" t="s">
        <v>2910</v>
      </c>
      <c r="G252" s="216" t="s">
        <v>14357</v>
      </c>
      <c r="H252" s="217">
        <v>0</v>
      </c>
      <c r="I252" s="218" t="s">
        <v>2911</v>
      </c>
      <c r="J252" s="218" t="s">
        <v>1884</v>
      </c>
      <c r="K252" s="267"/>
      <c r="L252" s="267"/>
      <c r="M252" s="267"/>
      <c r="N252" s="267"/>
      <c r="O252" s="267"/>
      <c r="P252" s="219"/>
      <c r="Q252" s="268"/>
      <c r="R252" s="216" t="str">
        <f ca="1">IF(ISERROR($V252),"",OFFSET('Smelter Look-up'!$C$4,$V252-4,0)&amp;"")</f>
        <v>AU Traders and Refiners</v>
      </c>
      <c r="S252" s="224" t="str">
        <f t="shared" ca="1" si="9"/>
        <v>ZA</v>
      </c>
      <c r="T252" s="224" t="str">
        <f ca="1">IF(B252="","",IF(ISERROR(MATCH($J252,SorP!$B$1:$B$6230,0)),"",INDIRECT("'SorP'!$A$"&amp;MATCH($J252,SorP!$B$1:$B$6230,0))))</f>
        <v>ZA-GT</v>
      </c>
      <c r="U252" s="239"/>
      <c r="V252" s="269">
        <f>IF(C252="",NA(),MATCH($B252&amp;$C252,'Smelter Look-up'!$J:$J,0))</f>
        <v>30</v>
      </c>
      <c r="W252" s="270"/>
      <c r="X252" s="270">
        <f t="shared" si="10"/>
        <v>0</v>
      </c>
      <c r="Y252" s="270"/>
      <c r="Z252" s="270"/>
      <c r="AB252" s="272" t="str">
        <f t="shared" si="11"/>
        <v>GoldAU Traders and Refiners</v>
      </c>
    </row>
    <row r="253" spans="1:28" s="271" customFormat="1" ht="30" customHeight="1">
      <c r="A253" s="215" t="s">
        <v>2958</v>
      </c>
      <c r="B253" s="216" t="s">
        <v>1250</v>
      </c>
      <c r="C253" s="220" t="s">
        <v>2957</v>
      </c>
      <c r="D253" s="216"/>
      <c r="E253" s="216" t="s">
        <v>1010</v>
      </c>
      <c r="F253" s="216" t="s">
        <v>2958</v>
      </c>
      <c r="G253" s="216" t="s">
        <v>14357</v>
      </c>
      <c r="H253" s="217">
        <v>0</v>
      </c>
      <c r="I253" s="218" t="s">
        <v>2959</v>
      </c>
      <c r="J253" s="218" t="s">
        <v>2959</v>
      </c>
      <c r="K253" s="267"/>
      <c r="L253" s="267"/>
      <c r="M253" s="267"/>
      <c r="N253" s="267"/>
      <c r="O253" s="267"/>
      <c r="P253" s="219"/>
      <c r="Q253" s="268"/>
      <c r="R253" s="216" t="str">
        <f ca="1">IF(ISERROR($V253),"",OFFSET('Smelter Look-up'!$C$4,$V253-4,0)&amp;"")</f>
        <v>Universal Precious Metals Refining Zambia</v>
      </c>
      <c r="S253" s="224" t="str">
        <f t="shared" ca="1" si="9"/>
        <v>ZM</v>
      </c>
      <c r="T253" s="224" t="str">
        <f ca="1">IF(B253="","",IF(ISERROR(MATCH($J253,SorP!$B$1:$B$6230,0)),"",INDIRECT("'SorP'!$A$"&amp;MATCH($J253,SorP!$B$1:$B$6230,0))))</f>
        <v>ZM-09</v>
      </c>
      <c r="U253" s="239"/>
      <c r="V253" s="269">
        <f>IF(C253="",NA(),MATCH($B253&amp;$C253,'Smelter Look-up'!$J:$J,0))</f>
        <v>260</v>
      </c>
      <c r="W253" s="270"/>
      <c r="X253" s="270">
        <f t="shared" si="10"/>
        <v>0</v>
      </c>
      <c r="Y253" s="270"/>
      <c r="Z253" s="270"/>
      <c r="AB253" s="272" t="str">
        <f t="shared" si="11"/>
        <v>GoldUniversal Precious Metals Refining Zambia</v>
      </c>
    </row>
    <row r="254" spans="1:28" s="271" customFormat="1" ht="24.75" customHeight="1">
      <c r="A254" s="215" t="s">
        <v>2914</v>
      </c>
      <c r="B254" s="216" t="s">
        <v>1250</v>
      </c>
      <c r="C254" s="220" t="s">
        <v>2913</v>
      </c>
      <c r="D254" s="216"/>
      <c r="E254" s="216" t="s">
        <v>1226</v>
      </c>
      <c r="F254" s="216" t="s">
        <v>2914</v>
      </c>
      <c r="G254" s="216" t="s">
        <v>14357</v>
      </c>
      <c r="H254" s="217">
        <v>0</v>
      </c>
      <c r="I254" s="218" t="s">
        <v>2977</v>
      </c>
      <c r="J254" s="218" t="s">
        <v>2978</v>
      </c>
      <c r="K254" s="267"/>
      <c r="L254" s="267"/>
      <c r="M254" s="267"/>
      <c r="N254" s="267"/>
      <c r="O254" s="267"/>
      <c r="P254" s="219"/>
      <c r="Q254" s="268"/>
      <c r="R254" s="216" t="str">
        <f ca="1">IF(ISERROR($V254),"",OFFSET('Smelter Look-up'!$C$4,$V254-4,0)&amp;"")</f>
        <v>Bangalore Refinery</v>
      </c>
      <c r="S254" s="224" t="str">
        <f t="shared" ca="1" si="9"/>
        <v>IN</v>
      </c>
      <c r="T254" s="224" t="str">
        <f ca="1">IF(B254="","",IF(ISERROR(MATCH($J254,SorP!$B$1:$B$6230,0)),"",INDIRECT("'SorP'!$A$"&amp;MATCH($J254,SorP!$B$1:$B$6230,0))))</f>
        <v>IN-KA</v>
      </c>
      <c r="U254" s="239"/>
      <c r="V254" s="269">
        <f>IF(C254="",NA(),MATCH($B254&amp;$C254,'Smelter Look-up'!$J:$J,0))</f>
        <v>33</v>
      </c>
      <c r="W254" s="270"/>
      <c r="X254" s="270">
        <f t="shared" si="10"/>
        <v>0</v>
      </c>
      <c r="Y254" s="270"/>
      <c r="Z254" s="270"/>
      <c r="AB254" s="272" t="str">
        <f t="shared" si="11"/>
        <v>GoldBangalore Refinery</v>
      </c>
    </row>
    <row r="255" spans="1:28" s="271" customFormat="1" ht="30" customHeight="1">
      <c r="A255" s="215" t="s">
        <v>15508</v>
      </c>
      <c r="B255" s="216" t="s">
        <v>1251</v>
      </c>
      <c r="C255" s="220" t="s">
        <v>15509</v>
      </c>
      <c r="D255" s="216"/>
      <c r="E255" s="216" t="s">
        <v>1225</v>
      </c>
      <c r="F255" s="216" t="s">
        <v>15508</v>
      </c>
      <c r="G255" s="216" t="s">
        <v>15499</v>
      </c>
      <c r="H255" s="217" t="s">
        <v>15499</v>
      </c>
      <c r="I255" s="218" t="s">
        <v>15499</v>
      </c>
      <c r="J255" s="218" t="s">
        <v>15499</v>
      </c>
      <c r="K255" s="267"/>
      <c r="L255" s="267"/>
      <c r="M255" s="267"/>
      <c r="N255" s="267"/>
      <c r="O255" s="267"/>
      <c r="P255" s="219"/>
      <c r="Q255" s="268"/>
      <c r="R255" s="216" t="str">
        <f ca="1">IF(ISERROR($V255),"",OFFSET('Smelter Look-up'!$C$4,$V255-4,0)&amp;"")</f>
        <v/>
      </c>
      <c r="S255" s="224" t="str">
        <f t="shared" ca="1" si="9"/>
        <v>ID</v>
      </c>
      <c r="T255" s="224" t="str">
        <f ca="1">IF(B255="","",IF(ISERROR(MATCH($J255,SorP!$B$1:$B$6230,0)),"",INDIRECT("'SorP'!$A$"&amp;MATCH($J255,SorP!$B$1:$B$6230,0))))</f>
        <v/>
      </c>
      <c r="U255" s="239"/>
      <c r="V255" s="269" t="e">
        <f>IF(C255="",NA(),MATCH($B255&amp;$C255,'Smelter Look-up'!$J:$J,0))</f>
        <v>#N/A</v>
      </c>
      <c r="W255" s="270"/>
      <c r="X255" s="270">
        <f t="shared" si="10"/>
        <v>0</v>
      </c>
      <c r="Y255" s="270"/>
      <c r="Z255" s="270"/>
      <c r="AB255" s="272" t="str">
        <f t="shared" si="11"/>
        <v>TinPT Lautan Harmonis Sejahtera</v>
      </c>
    </row>
    <row r="256" spans="1:28" s="271" customFormat="1" ht="30" customHeight="1">
      <c r="A256" s="215" t="s">
        <v>3118</v>
      </c>
      <c r="B256" s="216" t="s">
        <v>1250</v>
      </c>
      <c r="C256" s="220" t="s">
        <v>13998</v>
      </c>
      <c r="D256" s="216"/>
      <c r="E256" s="216" t="s">
        <v>1231</v>
      </c>
      <c r="F256" s="216" t="s">
        <v>3118</v>
      </c>
      <c r="G256" s="216" t="s">
        <v>14357</v>
      </c>
      <c r="H256" s="217">
        <v>0</v>
      </c>
      <c r="I256" s="218" t="s">
        <v>14019</v>
      </c>
      <c r="J256" s="218" t="s">
        <v>13939</v>
      </c>
      <c r="K256" s="267"/>
      <c r="L256" s="267"/>
      <c r="M256" s="267"/>
      <c r="N256" s="267"/>
      <c r="O256" s="267"/>
      <c r="P256" s="219"/>
      <c r="Q256" s="268"/>
      <c r="R256" s="216" t="str">
        <f ca="1">IF(ISERROR($V256),"",OFFSET('Smelter Look-up'!$C$4,$V256-4,0)&amp;"")</f>
        <v>SungEel HiMetal Co., Ltd.</v>
      </c>
      <c r="S256" s="224" t="str">
        <f t="shared" ca="1" si="9"/>
        <v>KR</v>
      </c>
      <c r="T256" s="224" t="str">
        <f ca="1">IF(B256="","",IF(ISERROR(MATCH($J256,SorP!$B$1:$B$6230,0)),"",INDIRECT("'SorP'!$A$"&amp;MATCH($J256,SorP!$B$1:$B$6230,0))))</f>
        <v>KR-45</v>
      </c>
      <c r="U256" s="239"/>
      <c r="V256" s="269">
        <f>IF(C256="",NA(),MATCH($B256&amp;$C256,'Smelter Look-up'!$J:$J,0))</f>
        <v>232</v>
      </c>
      <c r="W256" s="270"/>
      <c r="X256" s="270">
        <f t="shared" si="10"/>
        <v>0</v>
      </c>
      <c r="Y256" s="270"/>
      <c r="Z256" s="270"/>
      <c r="AB256" s="272" t="str">
        <f t="shared" si="11"/>
        <v>GoldSungEel HiMetal Co., Ltd.</v>
      </c>
    </row>
    <row r="257" spans="1:28" s="271" customFormat="1" ht="30" customHeight="1">
      <c r="A257" s="215" t="s">
        <v>3208</v>
      </c>
      <c r="B257" s="216" t="s">
        <v>1250</v>
      </c>
      <c r="C257" s="220" t="s">
        <v>3207</v>
      </c>
      <c r="D257" s="216"/>
      <c r="E257" s="216" t="s">
        <v>1219</v>
      </c>
      <c r="F257" s="216" t="s">
        <v>3208</v>
      </c>
      <c r="G257" s="216" t="s">
        <v>14357</v>
      </c>
      <c r="H257" s="217">
        <v>0</v>
      </c>
      <c r="I257" s="218" t="s">
        <v>3209</v>
      </c>
      <c r="J257" s="218" t="s">
        <v>3210</v>
      </c>
      <c r="K257" s="267"/>
      <c r="L257" s="267"/>
      <c r="M257" s="267"/>
      <c r="N257" s="267"/>
      <c r="O257" s="267"/>
      <c r="P257" s="219"/>
      <c r="Q257" s="268"/>
      <c r="R257" s="216" t="str">
        <f ca="1">IF(ISERROR($V257),"",OFFSET('Smelter Look-up'!$C$4,$V257-4,0)&amp;"")</f>
        <v>Planta Recuperadora de Metales SpA</v>
      </c>
      <c r="S257" s="224" t="str">
        <f t="shared" ca="1" si="9"/>
        <v>CL</v>
      </c>
      <c r="T257" s="224" t="str">
        <f ca="1">IF(B257="","",IF(ISERROR(MATCH($J257,SorP!$B$1:$B$6230,0)),"",INDIRECT("'SorP'!$A$"&amp;MATCH($J257,SorP!$B$1:$B$6230,0))))</f>
        <v>CL-AN</v>
      </c>
      <c r="U257" s="239"/>
      <c r="V257" s="269">
        <f>IF(C257="",NA(),MATCH($B257&amp;$C257,'Smelter Look-up'!$J:$J,0))</f>
        <v>182</v>
      </c>
      <c r="W257" s="270"/>
      <c r="X257" s="270">
        <f t="shared" si="10"/>
        <v>0</v>
      </c>
      <c r="Y257" s="270"/>
      <c r="Z257" s="270"/>
      <c r="AB257" s="272" t="str">
        <f t="shared" si="11"/>
        <v>GoldPlanta Recuperadora de Metales SpA</v>
      </c>
    </row>
    <row r="258" spans="1:28" s="271" customFormat="1" ht="30" customHeight="1">
      <c r="A258" s="215" t="s">
        <v>3212</v>
      </c>
      <c r="B258" s="216" t="s">
        <v>1250</v>
      </c>
      <c r="C258" s="220" t="s">
        <v>3211</v>
      </c>
      <c r="D258" s="216"/>
      <c r="E258" s="216" t="s">
        <v>1227</v>
      </c>
      <c r="F258" s="216" t="s">
        <v>3212</v>
      </c>
      <c r="G258" s="216" t="s">
        <v>14357</v>
      </c>
      <c r="H258" s="217">
        <v>0</v>
      </c>
      <c r="I258" s="218" t="s">
        <v>1806</v>
      </c>
      <c r="J258" s="218" t="s">
        <v>7238</v>
      </c>
      <c r="K258" s="267"/>
      <c r="L258" s="267"/>
      <c r="M258" s="267"/>
      <c r="N258" s="267"/>
      <c r="O258" s="267"/>
      <c r="P258" s="219"/>
      <c r="Q258" s="268"/>
      <c r="R258" s="216" t="str">
        <f ca="1">IF(ISERROR($V258),"",OFFSET('Smelter Look-up'!$C$4,$V258-4,0)&amp;"")</f>
        <v>Safimet S.p.A</v>
      </c>
      <c r="S258" s="224" t="str">
        <f t="shared" ca="1" si="9"/>
        <v>IT</v>
      </c>
      <c r="T258" s="224" t="str">
        <f ca="1">IF(B258="","",IF(ISERROR(MATCH($J258,SorP!$B$1:$B$6230,0)),"",INDIRECT("'SorP'!$A$"&amp;MATCH($J258,SorP!$B$1:$B$6230,0))))</f>
        <v>IT-52</v>
      </c>
      <c r="U258" s="239"/>
      <c r="V258" s="269">
        <f>IF(C258="",NA(),MATCH($B258&amp;$C258,'Smelter Look-up'!$J:$J,0))</f>
        <v>197</v>
      </c>
      <c r="W258" s="270"/>
      <c r="X258" s="270">
        <f t="shared" si="10"/>
        <v>0</v>
      </c>
      <c r="Y258" s="270"/>
      <c r="Z258" s="270"/>
      <c r="AB258" s="272" t="str">
        <f t="shared" si="11"/>
        <v>GoldSafimet S.p.A</v>
      </c>
    </row>
    <row r="259" spans="1:28" s="271" customFormat="1" ht="30" customHeight="1">
      <c r="A259" s="215" t="s">
        <v>3224</v>
      </c>
      <c r="B259" s="216" t="s">
        <v>1251</v>
      </c>
      <c r="C259" s="220" t="s">
        <v>3223</v>
      </c>
      <c r="D259" s="216"/>
      <c r="E259" s="216" t="s">
        <v>1220</v>
      </c>
      <c r="F259" s="216" t="s">
        <v>3224</v>
      </c>
      <c r="G259" s="216" t="s">
        <v>14357</v>
      </c>
      <c r="H259" s="217">
        <v>0</v>
      </c>
      <c r="I259" s="218" t="s">
        <v>2082</v>
      </c>
      <c r="J259" s="218" t="s">
        <v>15238</v>
      </c>
      <c r="K259" s="267"/>
      <c r="L259" s="267"/>
      <c r="M259" s="267"/>
      <c r="N259" s="267"/>
      <c r="O259" s="267"/>
      <c r="P259" s="219"/>
      <c r="Q259" s="268"/>
      <c r="R259" s="216" t="str">
        <f ca="1">IF(ISERROR($V259),"",OFFSET('Smelter Look-up'!$C$4,$V259-4,0)&amp;"")</f>
        <v>Guangdong Hanhe Non-Ferrous Metal Co., Ltd.</v>
      </c>
      <c r="S259" s="224" t="str">
        <f t="shared" ca="1" si="9"/>
        <v>CN</v>
      </c>
      <c r="T259" s="224" t="str">
        <f ca="1">IF(B259="","",IF(ISERROR(MATCH($J259,SorP!$B$1:$B$6230,0)),"",INDIRECT("'SorP'!$A$"&amp;MATCH($J259,SorP!$B$1:$B$6230,0))))</f>
        <v>CN-GD</v>
      </c>
      <c r="U259" s="239"/>
      <c r="V259" s="269">
        <f>IF(C259="",NA(),MATCH($B259&amp;$C259,'Smelter Look-up'!$J:$J,0))</f>
        <v>399</v>
      </c>
      <c r="W259" s="270"/>
      <c r="X259" s="270">
        <f t="shared" si="10"/>
        <v>0</v>
      </c>
      <c r="Y259" s="270"/>
      <c r="Z259" s="270"/>
      <c r="AB259" s="272" t="str">
        <f t="shared" si="11"/>
        <v>TinGuangdong Hanhe Non-Ferrous Metal Co., Ltd.</v>
      </c>
    </row>
    <row r="260" spans="1:28" s="271" customFormat="1" ht="24" customHeight="1">
      <c r="A260" s="215" t="s">
        <v>14007</v>
      </c>
      <c r="B260" s="216" t="s">
        <v>1251</v>
      </c>
      <c r="C260" s="220" t="s">
        <v>14006</v>
      </c>
      <c r="D260" s="216"/>
      <c r="E260" s="216" t="s">
        <v>1220</v>
      </c>
      <c r="F260" s="216" t="s">
        <v>14007</v>
      </c>
      <c r="G260" s="216" t="s">
        <v>14357</v>
      </c>
      <c r="H260" s="217">
        <v>0</v>
      </c>
      <c r="I260" s="218" t="s">
        <v>14033</v>
      </c>
      <c r="J260" s="218" t="s">
        <v>15216</v>
      </c>
      <c r="K260" s="267"/>
      <c r="L260" s="267"/>
      <c r="M260" s="267"/>
      <c r="N260" s="267"/>
      <c r="O260" s="267"/>
      <c r="P260" s="219"/>
      <c r="Q260" s="268"/>
      <c r="R260" s="216" t="str">
        <f ca="1">IF(ISERROR($V260),"",OFFSET('Smelter Look-up'!$C$4,$V260-4,0)&amp;"")</f>
        <v>Chifeng Dajingzi Tin Industry Co., Ltd.</v>
      </c>
      <c r="S260" s="224" t="str">
        <f t="shared" ca="1" si="9"/>
        <v>CN</v>
      </c>
      <c r="T260" s="224" t="str">
        <f ca="1">IF(B260="","",IF(ISERROR(MATCH($J260,SorP!$B$1:$B$6230,0)),"",INDIRECT("'SorP'!$A$"&amp;MATCH($J260,SorP!$B$1:$B$6230,0))))</f>
        <v>CN-NM</v>
      </c>
      <c r="U260" s="239"/>
      <c r="V260" s="269">
        <f>IF(C260="",NA(),MATCH($B260&amp;$C260,'Smelter Look-up'!$J:$J,0))</f>
        <v>360</v>
      </c>
      <c r="W260" s="270"/>
      <c r="X260" s="270">
        <f t="shared" si="10"/>
        <v>0</v>
      </c>
      <c r="Y260" s="270"/>
      <c r="Z260" s="270"/>
      <c r="AB260" s="272" t="str">
        <f t="shared" si="11"/>
        <v>TinChifeng Dajingzi Tin Industry Co., Ltd.</v>
      </c>
    </row>
    <row r="261" spans="1:28" s="271" customFormat="1" ht="23.25" customHeight="1">
      <c r="A261" s="215" t="s">
        <v>13991</v>
      </c>
      <c r="B261" s="216" t="s">
        <v>1250</v>
      </c>
      <c r="C261" s="220" t="s">
        <v>13990</v>
      </c>
      <c r="D261" s="216"/>
      <c r="E261" s="216" t="s">
        <v>1231</v>
      </c>
      <c r="F261" s="216" t="s">
        <v>13991</v>
      </c>
      <c r="G261" s="216" t="s">
        <v>14357</v>
      </c>
      <c r="H261" s="217">
        <v>0</v>
      </c>
      <c r="I261" s="218" t="s">
        <v>14017</v>
      </c>
      <c r="J261" s="218" t="s">
        <v>13933</v>
      </c>
      <c r="K261" s="267"/>
      <c r="L261" s="267"/>
      <c r="M261" s="267"/>
      <c r="N261" s="267"/>
      <c r="O261" s="267"/>
      <c r="P261" s="219"/>
      <c r="Q261" s="268"/>
      <c r="R261" s="216" t="str">
        <f ca="1">IF(ISERROR($V261),"",OFFSET('Smelter Look-up'!$C$4,$V261-4,0)&amp;"")</f>
        <v>DS PRETECH Co., Ltd.</v>
      </c>
      <c r="S261" s="224" t="str">
        <f t="shared" ref="S261:S324" ca="1" si="12">IF(B261="","",IF(ISERROR(MATCH($E261,CL,0)),"Unknown",INDIRECT("'C'!$A$"&amp;MATCH($E261,CL,0)+1)))</f>
        <v>KR</v>
      </c>
      <c r="T261" s="224" t="str">
        <f ca="1">IF(B261="","",IF(ISERROR(MATCH($J261,SorP!$B$1:$B$6230,0)),"",INDIRECT("'SorP'!$A$"&amp;MATCH($J261,SorP!$B$1:$B$6230,0))))</f>
        <v>KR-43</v>
      </c>
      <c r="U261" s="239"/>
      <c r="V261" s="269">
        <f>IF(C261="",NA(),MATCH($B261&amp;$C261,'Smelter Look-up'!$J:$J,0))</f>
        <v>65</v>
      </c>
      <c r="W261" s="270"/>
      <c r="X261" s="270">
        <f t="shared" ref="X261:X324" si="13">IF(AND(C261="Smelter not listed",OR(LEN(D261)=0,LEN(E261)=0)),1,0)</f>
        <v>0</v>
      </c>
      <c r="Y261" s="270"/>
      <c r="Z261" s="270"/>
      <c r="AB261" s="272" t="str">
        <f t="shared" ref="AB261:AB324" si="14">B261&amp;C261</f>
        <v>GoldDS PRETECH Co., Ltd.</v>
      </c>
    </row>
    <row r="262" spans="1:28" s="271" customFormat="1" ht="26.25" customHeight="1">
      <c r="A262" s="215" t="s">
        <v>14014</v>
      </c>
      <c r="B262" s="216" t="s">
        <v>1251</v>
      </c>
      <c r="C262" s="220" t="s">
        <v>14013</v>
      </c>
      <c r="D262" s="216"/>
      <c r="E262" s="216" t="s">
        <v>1225</v>
      </c>
      <c r="F262" s="216" t="s">
        <v>14014</v>
      </c>
      <c r="G262" s="216" t="s">
        <v>14357</v>
      </c>
      <c r="H262" s="217">
        <v>0</v>
      </c>
      <c r="I262" s="218" t="s">
        <v>14023</v>
      </c>
      <c r="J262" s="218" t="s">
        <v>13917</v>
      </c>
      <c r="K262" s="267"/>
      <c r="L262" s="267"/>
      <c r="M262" s="267"/>
      <c r="N262" s="267"/>
      <c r="O262" s="267"/>
      <c r="P262" s="219"/>
      <c r="Q262" s="268"/>
      <c r="R262" s="216" t="str">
        <f ca="1">IF(ISERROR($V262),"",OFFSET('Smelter Look-up'!$C$4,$V262-4,0)&amp;"")</f>
        <v>PT Bangka Serumpun</v>
      </c>
      <c r="S262" s="224" t="str">
        <f t="shared" ca="1" si="12"/>
        <v>ID</v>
      </c>
      <c r="T262" s="224" t="str">
        <f ca="1">IF(B262="","",IF(ISERROR(MATCH($J262,SorP!$B$1:$B$6230,0)),"",INDIRECT("'SorP'!$A$"&amp;MATCH($J262,SorP!$B$1:$B$6230,0))))</f>
        <v>ID-BB</v>
      </c>
      <c r="U262" s="239"/>
      <c r="V262" s="269">
        <f>IF(C262="",NA(),MATCH($B262&amp;$C262,'Smelter Look-up'!$J:$J,0))</f>
        <v>448</v>
      </c>
      <c r="W262" s="270"/>
      <c r="X262" s="270">
        <f t="shared" si="13"/>
        <v>0</v>
      </c>
      <c r="Y262" s="270"/>
      <c r="Z262" s="270"/>
      <c r="AB262" s="272" t="str">
        <f t="shared" si="14"/>
        <v>TinPT Bangka Serumpun</v>
      </c>
    </row>
    <row r="263" spans="1:28" s="271" customFormat="1" ht="24" customHeight="1">
      <c r="A263" s="215" t="s">
        <v>14297</v>
      </c>
      <c r="B263" s="216" t="s">
        <v>1251</v>
      </c>
      <c r="C263" s="220" t="s">
        <v>14296</v>
      </c>
      <c r="D263" s="216"/>
      <c r="E263" s="216" t="s">
        <v>3092</v>
      </c>
      <c r="F263" s="216" t="s">
        <v>14297</v>
      </c>
      <c r="G263" s="216" t="s">
        <v>14357</v>
      </c>
      <c r="H263" s="217">
        <v>0</v>
      </c>
      <c r="I263" s="218" t="s">
        <v>14298</v>
      </c>
      <c r="J263" s="218" t="s">
        <v>1983</v>
      </c>
      <c r="K263" s="267"/>
      <c r="L263" s="267"/>
      <c r="M263" s="267"/>
      <c r="N263" s="267"/>
      <c r="O263" s="267"/>
      <c r="P263" s="219"/>
      <c r="Q263" s="268"/>
      <c r="R263" s="216" t="str">
        <f ca="1">IF(ISERROR($V263),"",OFFSET('Smelter Look-up'!$C$4,$V263-4,0)&amp;"")</f>
        <v>Tin Technology &amp; Refining</v>
      </c>
      <c r="S263" s="224" t="str">
        <f t="shared" ca="1" si="12"/>
        <v>US</v>
      </c>
      <c r="T263" s="224" t="str">
        <f ca="1">IF(B263="","",IF(ISERROR(MATCH($J263,SorP!$B$1:$B$6230,0)),"",INDIRECT("'SorP'!$A$"&amp;MATCH($J263,SorP!$B$1:$B$6230,0))))</f>
        <v>US-PA</v>
      </c>
      <c r="U263" s="239"/>
      <c r="V263" s="269">
        <f>IF(C263="",NA(),MATCH($B263&amp;$C263,'Smelter Look-up'!$J:$J,0))</f>
        <v>491</v>
      </c>
      <c r="W263" s="270"/>
      <c r="X263" s="270">
        <f t="shared" si="13"/>
        <v>0</v>
      </c>
      <c r="Y263" s="270"/>
      <c r="Z263" s="270"/>
      <c r="AB263" s="272" t="str">
        <f t="shared" si="14"/>
        <v>TinTin Technology &amp; Refining</v>
      </c>
    </row>
    <row r="264" spans="1:28" s="271" customFormat="1" ht="24" customHeight="1">
      <c r="A264" s="215" t="s">
        <v>15422</v>
      </c>
      <c r="B264" s="216" t="s">
        <v>1251</v>
      </c>
      <c r="C264" s="220" t="s">
        <v>15421</v>
      </c>
      <c r="D264" s="216"/>
      <c r="E264" s="216" t="s">
        <v>1220</v>
      </c>
      <c r="F264" s="216" t="s">
        <v>15422</v>
      </c>
      <c r="G264" s="216" t="s">
        <v>14357</v>
      </c>
      <c r="H264" s="217">
        <v>0</v>
      </c>
      <c r="I264" s="218" t="s">
        <v>15474</v>
      </c>
      <c r="J264" s="218" t="s">
        <v>15231</v>
      </c>
      <c r="K264" s="267"/>
      <c r="L264" s="267"/>
      <c r="M264" s="267"/>
      <c r="N264" s="267"/>
      <c r="O264" s="267"/>
      <c r="P264" s="219"/>
      <c r="Q264" s="268"/>
      <c r="R264" s="216" t="str">
        <f ca="1">IF(ISERROR($V264),"",OFFSET('Smelter Look-up'!$C$4,$V264-4,0)&amp;"")</f>
        <v>Ma'anshan Weitai Tin Co., Ltd.</v>
      </c>
      <c r="S264" s="224" t="str">
        <f t="shared" ca="1" si="12"/>
        <v>CN</v>
      </c>
      <c r="T264" s="224" t="str">
        <f ca="1">IF(B264="","",IF(ISERROR(MATCH($J264,SorP!$B$1:$B$6230,0)),"",INDIRECT("'SorP'!$A$"&amp;MATCH($J264,SorP!$B$1:$B$6230,0))))</f>
        <v>CN-AH</v>
      </c>
      <c r="U264" s="239"/>
      <c r="V264" s="269">
        <f>IF(C264="",NA(),MATCH($B264&amp;$C264,'Smelter Look-up'!$J:$J,0))</f>
        <v>416</v>
      </c>
      <c r="W264" s="270"/>
      <c r="X264" s="270">
        <f t="shared" si="13"/>
        <v>0</v>
      </c>
      <c r="Y264" s="270"/>
      <c r="Z264" s="270"/>
      <c r="AB264" s="272" t="str">
        <f t="shared" si="14"/>
        <v>TinMa'anshan Weitai Tin Co., Ltd.</v>
      </c>
    </row>
    <row r="265" spans="1:28" s="271" customFormat="1" ht="23.25" customHeight="1">
      <c r="A265" s="215" t="s">
        <v>15430</v>
      </c>
      <c r="B265" s="216" t="s">
        <v>1251</v>
      </c>
      <c r="C265" s="220" t="s">
        <v>15429</v>
      </c>
      <c r="D265" s="216"/>
      <c r="E265" s="216" t="s">
        <v>1225</v>
      </c>
      <c r="F265" s="216" t="s">
        <v>15430</v>
      </c>
      <c r="G265" s="216" t="s">
        <v>15499</v>
      </c>
      <c r="H265" s="217" t="s">
        <v>15499</v>
      </c>
      <c r="I265" s="218" t="s">
        <v>15499</v>
      </c>
      <c r="J265" s="218" t="s">
        <v>15499</v>
      </c>
      <c r="K265" s="267"/>
      <c r="L265" s="267"/>
      <c r="M265" s="267"/>
      <c r="N265" s="267"/>
      <c r="O265" s="267"/>
      <c r="P265" s="219"/>
      <c r="Q265" s="268"/>
      <c r="R265" s="216" t="str">
        <f ca="1">IF(ISERROR($V265),"",OFFSET('Smelter Look-up'!$C$4,$V265-4,0)&amp;"")</f>
        <v>PT Rajawali Rimba Perkasa</v>
      </c>
      <c r="S265" s="224" t="str">
        <f t="shared" ca="1" si="12"/>
        <v>ID</v>
      </c>
      <c r="T265" s="224" t="str">
        <f ca="1">IF(B265="","",IF(ISERROR(MATCH($J265,SorP!$B$1:$B$6230,0)),"",INDIRECT("'SorP'!$A$"&amp;MATCH($J265,SorP!$B$1:$B$6230,0))))</f>
        <v/>
      </c>
      <c r="U265" s="239"/>
      <c r="V265" s="269">
        <f>IF(C265="",NA(),MATCH($B265&amp;$C265,'Smelter Look-up'!$J:$J,0))</f>
        <v>464</v>
      </c>
      <c r="W265" s="270"/>
      <c r="X265" s="270">
        <f t="shared" si="13"/>
        <v>0</v>
      </c>
      <c r="Y265" s="270"/>
      <c r="Z265" s="270"/>
      <c r="AB265" s="272" t="str">
        <f t="shared" si="14"/>
        <v>TinPT Rajawali Rimba Perkasa</v>
      </c>
    </row>
    <row r="266" spans="1:28" s="271" customFormat="1" ht="26.25" customHeight="1">
      <c r="A266" s="215" t="s">
        <v>15448</v>
      </c>
      <c r="B266" s="216" t="s">
        <v>1253</v>
      </c>
      <c r="C266" s="220" t="s">
        <v>15447</v>
      </c>
      <c r="D266" s="216"/>
      <c r="E266" s="216" t="s">
        <v>1231</v>
      </c>
      <c r="F266" s="216" t="s">
        <v>15448</v>
      </c>
      <c r="G266" s="216" t="s">
        <v>14357</v>
      </c>
      <c r="H266" s="217">
        <v>0</v>
      </c>
      <c r="I266" s="218" t="s">
        <v>15465</v>
      </c>
      <c r="J266" s="218" t="s">
        <v>13936</v>
      </c>
      <c r="K266" s="267"/>
      <c r="L266" s="267"/>
      <c r="M266" s="267"/>
      <c r="N266" s="267"/>
      <c r="O266" s="267"/>
      <c r="P266" s="219"/>
      <c r="Q266" s="268"/>
      <c r="R266" s="216" t="str">
        <f ca="1">IF(ISERROR($V266),"",OFFSET('Smelter Look-up'!$C$4,$V266-4,0)&amp;"")</f>
        <v>KGETS Co., Ltd.</v>
      </c>
      <c r="S266" s="224" t="str">
        <f t="shared" ca="1" si="12"/>
        <v>KR</v>
      </c>
      <c r="T266" s="224" t="str">
        <f ca="1">IF(B266="","",IF(ISERROR(MATCH($J266,SorP!$B$1:$B$6230,0)),"",INDIRECT("'SorP'!$A$"&amp;MATCH($J266,SorP!$B$1:$B$6230,0))))</f>
        <v>KR-41</v>
      </c>
      <c r="U266" s="239"/>
      <c r="V266" s="269">
        <f>IF(C266="",NA(),MATCH($B266&amp;$C266,'Smelter Look-up'!$J:$J,0))</f>
        <v>563</v>
      </c>
      <c r="W266" s="270"/>
      <c r="X266" s="270">
        <f t="shared" si="13"/>
        <v>0</v>
      </c>
      <c r="Y266" s="270"/>
      <c r="Z266" s="270"/>
      <c r="AB266" s="272" t="str">
        <f t="shared" si="14"/>
        <v>TungstenKGETS Co., Ltd.</v>
      </c>
    </row>
    <row r="267" spans="1:28" s="271" customFormat="1" ht="30" customHeight="1">
      <c r="A267" s="215" t="s">
        <v>15436</v>
      </c>
      <c r="B267" s="216" t="s">
        <v>1251</v>
      </c>
      <c r="C267" s="220" t="s">
        <v>15435</v>
      </c>
      <c r="D267" s="216"/>
      <c r="E267" s="216" t="s">
        <v>1220</v>
      </c>
      <c r="F267" s="216" t="s">
        <v>15436</v>
      </c>
      <c r="G267" s="216" t="s">
        <v>14357</v>
      </c>
      <c r="H267" s="217">
        <v>0</v>
      </c>
      <c r="I267" s="218" t="s">
        <v>3109</v>
      </c>
      <c r="J267" s="218" t="s">
        <v>15242</v>
      </c>
      <c r="K267" s="267"/>
      <c r="L267" s="267"/>
      <c r="M267" s="267"/>
      <c r="N267" s="267"/>
      <c r="O267" s="267"/>
      <c r="P267" s="219"/>
      <c r="Q267" s="268"/>
      <c r="R267" s="216" t="str">
        <f ca="1">IF(ISERROR($V267),"",OFFSET('Smelter Look-up'!$C$4,$V267-4,0)&amp;"")</f>
        <v>Yunnan Yunfan Non-ferrous Metals Co., Ltd.</v>
      </c>
      <c r="S267" s="224" t="str">
        <f t="shared" ca="1" si="12"/>
        <v>CN</v>
      </c>
      <c r="T267" s="224" t="str">
        <f ca="1">IF(B267="","",IF(ISERROR(MATCH($J267,SorP!$B$1:$B$6230,0)),"",INDIRECT("'SorP'!$A$"&amp;MATCH($J267,SorP!$B$1:$B$6230,0))))</f>
        <v>CN-YN</v>
      </c>
      <c r="U267" s="239"/>
      <c r="V267" s="269">
        <f>IF(C267="",NA(),MATCH($B267&amp;$C267,'Smelter Look-up'!$J:$J,0))</f>
        <v>511</v>
      </c>
      <c r="W267" s="270"/>
      <c r="X267" s="270">
        <f t="shared" si="13"/>
        <v>0</v>
      </c>
      <c r="Y267" s="270"/>
      <c r="Z267" s="270"/>
      <c r="AB267" s="272" t="str">
        <f t="shared" si="14"/>
        <v>TinYunnan Yunfan Non-ferrous Metals Co., Ltd.</v>
      </c>
    </row>
    <row r="268" spans="1:28" s="271" customFormat="1" ht="20.25">
      <c r="A268" s="215"/>
      <c r="B268" s="216" t="s">
        <v>1250</v>
      </c>
      <c r="C268" s="220" t="s">
        <v>1454</v>
      </c>
      <c r="D268" s="216"/>
      <c r="E268" s="216" t="s">
        <v>560</v>
      </c>
      <c r="F268" s="216">
        <v>0</v>
      </c>
      <c r="G268" s="216">
        <v>0</v>
      </c>
      <c r="H268" s="217">
        <v>0</v>
      </c>
      <c r="I268" s="218">
        <v>0</v>
      </c>
      <c r="J268" s="218">
        <v>0</v>
      </c>
      <c r="K268" s="267"/>
      <c r="L268" s="267"/>
      <c r="M268" s="267"/>
      <c r="N268" s="267" t="s">
        <v>15494</v>
      </c>
      <c r="O268" s="267" t="s">
        <v>15494</v>
      </c>
      <c r="P268" s="219" t="s">
        <v>15495</v>
      </c>
      <c r="Q268" s="268"/>
      <c r="R268" s="216" t="str">
        <f ca="1">IF(ISERROR($V268),"",OFFSET('Smelter Look-up'!$C$4,$V268-4,0)&amp;"")</f>
        <v/>
      </c>
      <c r="S268" s="224" t="e">
        <f ca="1">IF(#REF!="","",IF(ISERROR(MATCH(#REF!,CL,0)),"Unknown",INDIRECT("'C'!$A$"&amp;MATCH(#REF!,CL,0)+1)))</f>
        <v>#REF!</v>
      </c>
      <c r="T268" s="224" t="e">
        <f ca="1">IF(#REF!="","",IF(ISERROR(MATCH(#REF!,SorP!$B$1:$B$6230,0)),"",INDIRECT("'SorP'!$A$"&amp;MATCH(#REF!,SorP!$B$1:$B$6230,0))))</f>
        <v>#REF!</v>
      </c>
      <c r="U268" s="239"/>
      <c r="V268" s="269" t="e">
        <f>IF(#REF!="",NA(),MATCH(#REF!&amp;#REF!,'Smelter Look-up'!$J:$J,0))</f>
        <v>#REF!</v>
      </c>
      <c r="W268" s="270"/>
      <c r="X268" s="270" t="e">
        <f>IF(AND(#REF!="Smelter not listed",OR(LEN(#REF!)=0,LEN(#REF!)=0)),1,0)</f>
        <v>#REF!</v>
      </c>
      <c r="Y268" s="270"/>
      <c r="Z268" s="270"/>
      <c r="AB268" s="272" t="e">
        <f>#REF!&amp;#REF!</f>
        <v>#REF!</v>
      </c>
    </row>
    <row r="269" spans="1:28" s="271" customFormat="1" ht="20.25">
      <c r="A269" s="215"/>
      <c r="B269" s="216" t="s">
        <v>1251</v>
      </c>
      <c r="C269" s="220" t="s">
        <v>2115</v>
      </c>
      <c r="D269" s="216" t="s">
        <v>15496</v>
      </c>
      <c r="E269" s="216" t="s">
        <v>1218</v>
      </c>
      <c r="F269" s="216">
        <v>0</v>
      </c>
      <c r="G269" s="216" t="s">
        <v>15497</v>
      </c>
      <c r="H269" s="217" t="s">
        <v>15498</v>
      </c>
      <c r="I269" s="218" t="s">
        <v>4516</v>
      </c>
      <c r="J269" s="218">
        <v>0</v>
      </c>
      <c r="K269" s="267"/>
      <c r="L269" s="267"/>
      <c r="M269" s="267"/>
      <c r="N269" s="267"/>
      <c r="O269" s="267"/>
      <c r="P269" s="219"/>
      <c r="Q269" s="268"/>
      <c r="R269" s="216" t="str">
        <f ca="1">IF(ISERROR($V269),"",OFFSET('Smelter Look-up'!$C$4,$V269-4,0)&amp;"")</f>
        <v/>
      </c>
      <c r="S269" s="224" t="e">
        <f ca="1">IF(#REF!="","",IF(ISERROR(MATCH(#REF!,CL,0)),"Unknown",INDIRECT("'C'!$A$"&amp;MATCH(#REF!,CL,0)+1)))</f>
        <v>#REF!</v>
      </c>
      <c r="T269" s="224" t="e">
        <f ca="1">IF(#REF!="","",IF(ISERROR(MATCH(#REF!,SorP!$B$1:$B$6230,0)),"",INDIRECT("'SorP'!$A$"&amp;MATCH(#REF!,SorP!$B$1:$B$6230,0))))</f>
        <v>#REF!</v>
      </c>
      <c r="U269" s="239"/>
      <c r="V269" s="269" t="e">
        <f>IF(#REF!="",NA(),MATCH(#REF!&amp;#REF!,'Smelter Look-up'!$J:$J,0))</f>
        <v>#REF!</v>
      </c>
      <c r="W269" s="270"/>
      <c r="X269" s="270" t="e">
        <f>IF(AND(#REF!="Smelter not listed",OR(LEN(#REF!)=0,LEN(#REF!)=0)),1,0)</f>
        <v>#REF!</v>
      </c>
      <c r="Y269" s="270"/>
      <c r="Z269" s="270"/>
      <c r="AB269" s="272" t="e">
        <f>#REF!&amp;#REF!</f>
        <v>#REF!</v>
      </c>
    </row>
    <row r="270" spans="1:28" s="271" customFormat="1" ht="22.15" customHeight="1">
      <c r="A270" s="215"/>
      <c r="B270" s="216" t="s">
        <v>1252</v>
      </c>
      <c r="C270" s="220" t="s">
        <v>1454</v>
      </c>
      <c r="D270" s="216"/>
      <c r="E270" s="216" t="str">
        <f ca="1">IF(ISERROR($V270),"",OFFSET('Smelter Look-up'!$D$4,$V270-4,0)&amp;"")</f>
        <v>Unknown</v>
      </c>
      <c r="F270" s="216">
        <f ca="1">IF(ISERROR($V270),"",OFFSET('Smelter Look-up'!$E$4,$V270-4,0))</f>
        <v>0</v>
      </c>
      <c r="G270" s="216">
        <f ca="1">IF(C270=$X$4,"Enter smelter details", IF(ISERROR($V270),"",OFFSET('Smelter Look-up'!$F$4,$V270-4,0)))</f>
        <v>0</v>
      </c>
      <c r="H270" s="217">
        <f ca="1">IF(ISERROR($V270),"",OFFSET('Smelter Look-up'!$G$4,$V270-4,0))</f>
        <v>0</v>
      </c>
      <c r="I270" s="218">
        <f ca="1">IF(ISERROR($V270),"",OFFSET('Smelter Look-up'!$H$4,$V270-4,0))</f>
        <v>0</v>
      </c>
      <c r="J270" s="218">
        <f ca="1">IF(ISERROR($V270),"",OFFSET('Smelter Look-up'!$I$4,$V270-4,0))</f>
        <v>0</v>
      </c>
      <c r="K270" s="267"/>
      <c r="L270" s="267"/>
      <c r="M270" s="267"/>
      <c r="N270" s="267"/>
      <c r="O270" s="267"/>
      <c r="P270" s="219"/>
      <c r="Q270" s="268"/>
      <c r="R270" s="216" t="str">
        <f ca="1">IF(ISERROR($V270),"",OFFSET('Smelter Look-up'!$C$4,$V270-4,0)&amp;"")</f>
        <v>Unknown</v>
      </c>
      <c r="S270" s="224" t="str">
        <f t="shared" ca="1" si="12"/>
        <v>Unknown</v>
      </c>
      <c r="T270" s="224" t="str">
        <f ca="1">IF(B270="","",IF(ISERROR(MATCH($J270,SorP!$B$1:$B$6230,0)),"",INDIRECT("'SorP'!$A$"&amp;MATCH($J270,SorP!$B$1:$B$6230,0))))</f>
        <v/>
      </c>
      <c r="U270" s="239"/>
      <c r="V270" s="269">
        <f>IF(C270="",NA(),MATCH($B270&amp;$C270,'Smelter Look-up'!$J:$J,0))</f>
        <v>348</v>
      </c>
      <c r="W270" s="270"/>
      <c r="X270" s="270">
        <f t="shared" ca="1" si="13"/>
        <v>0</v>
      </c>
      <c r="Y270" s="270"/>
      <c r="Z270" s="270"/>
      <c r="AB270" s="272" t="str">
        <f t="shared" si="14"/>
        <v>TantalumSmelter not yet identified</v>
      </c>
    </row>
    <row r="271" spans="1:28" s="271" customFormat="1" ht="23.45" customHeight="1">
      <c r="A271" s="215"/>
      <c r="B271" s="216" t="s">
        <v>1253</v>
      </c>
      <c r="C271" s="220" t="s">
        <v>1454</v>
      </c>
      <c r="D271" s="216"/>
      <c r="E271" s="216" t="s">
        <v>560</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Unknown</v>
      </c>
      <c r="T271" s="224" t="str">
        <f ca="1">IF(B271="","",IF(ISERROR(MATCH($J271,SorP!$B$1:$B$6230,0)),"",INDIRECT("'SorP'!$A$"&amp;MATCH($J271,SorP!$B$1:$B$6230,0))))</f>
        <v/>
      </c>
      <c r="U271" s="239"/>
      <c r="V271" s="269" t="e">
        <f>IF(C271="",NA(),MATCH($B271&amp;$C271,'Smelter Look-up'!$J:$J,0))</f>
        <v>#N/A</v>
      </c>
      <c r="W271" s="270"/>
      <c r="X271" s="270">
        <f t="shared" si="13"/>
        <v>0</v>
      </c>
      <c r="Y271" s="270"/>
      <c r="Z271" s="270"/>
      <c r="AB271" s="272" t="str">
        <f t="shared" si="14"/>
        <v>TungstenSmelter not yet identified</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B7:B269">
    <cfRule type="expression" dxfId="42" priority="28" stopIfTrue="1">
      <formula>IF(B7="",TRUE)</formula>
    </cfRule>
    <cfRule type="expression" dxfId="41" priority="39" stopIfTrue="1">
      <formula>IF(AND(COUNTIF(MetalSmelter,B7&amp;C7)=0,LEN(C7)&gt;0), TRUE, FALSE)</formula>
    </cfRule>
  </conditionalFormatting>
  <conditionalFormatting sqref="D7:D2493">
    <cfRule type="expression" dxfId="40" priority="22" stopIfTrue="1">
      <formula>IF(AND(LEN($C7) &gt;0, ($C7 &lt;&gt; "Smelter Not Listed")),1,0)</formula>
    </cfRule>
    <cfRule type="expression" dxfId="39" priority="47" stopIfTrue="1">
      <formula>IF(AND(D7="",$C7=$X$4),TRUE)</formula>
    </cfRule>
    <cfRule type="expression" dxfId="38" priority="48" stopIfTrue="1">
      <formula>IF(FIND("!",D7),TRUE)</formula>
    </cfRule>
  </conditionalFormatting>
  <conditionalFormatting sqref="G586:G2493 G7:G269">
    <cfRule type="expression" dxfId="37" priority="49" stopIfTrue="1">
      <formula>IF(FIND("Enter smelter details",G7),TRUE)</formula>
    </cfRule>
  </conditionalFormatting>
  <conditionalFormatting sqref="R7:R267 R270:R2494 E7:E2493">
    <cfRule type="expression" dxfId="36" priority="35" stopIfTrue="1">
      <formula>IF(AND(E7="",$C7=$X$4),TRUE)</formula>
    </cfRule>
    <cfRule type="expression" dxfId="35" priority="36" stopIfTrue="1">
      <formula>IF(FIND("!",E7),TRUE)</formula>
    </cfRule>
  </conditionalFormatting>
  <conditionalFormatting sqref="F586:F2493 F7:F269">
    <cfRule type="expression" dxfId="34" priority="26" stopIfTrue="1">
      <formula>IF(AND(LEN($A7)&gt;0,$A7&lt;&gt;$F7),TRUE,FALSE)</formula>
    </cfRule>
  </conditionalFormatting>
  <conditionalFormatting sqref="C586:C2493 C7:C269">
    <cfRule type="expression" dxfId="33" priority="25" stopIfTrue="1">
      <formula>IF(AND(B7&lt;&gt;"",C7=""),TRUE)</formula>
    </cfRule>
  </conditionalFormatting>
  <conditionalFormatting sqref="B270:B585">
    <cfRule type="expression" dxfId="32" priority="4" stopIfTrue="1">
      <formula>IF(B270="",TRUE)</formula>
    </cfRule>
    <cfRule type="expression" dxfId="31" priority="7" stopIfTrue="1">
      <formula>IF(AND(COUNTIF(MetalSmelter,B270&amp;C270)=0,LEN(C270)&gt;0), TRUE, FALSE)</formula>
    </cfRule>
  </conditionalFormatting>
  <conditionalFormatting sqref="G270:G585">
    <cfRule type="expression" dxfId="30" priority="10" stopIfTrue="1">
      <formula>IF(FIND("Enter smelter details",G270),TRUE)</formula>
    </cfRule>
  </conditionalFormatting>
  <conditionalFormatting sqref="F270:F585">
    <cfRule type="expression" dxfId="29" priority="3" stopIfTrue="1">
      <formula>IF(AND(LEN($A270)&gt;0,$A270&lt;&gt;$F270),TRUE,FALSE)</formula>
    </cfRule>
  </conditionalFormatting>
  <conditionalFormatting sqref="C270:C585">
    <cfRule type="expression" dxfId="28" priority="2" stopIfTrue="1">
      <formula>IF(AND(B270&lt;&gt;"",C270=""),TRUE)</formula>
    </cfRule>
  </conditionalFormatting>
  <conditionalFormatting sqref="R5:R6">
    <cfRule type="expression" dxfId="27" priority="379" stopIfTrue="1">
      <formula>IF(AND(R5="",$C268=$X$4),TRUE)</formula>
    </cfRule>
    <cfRule type="expression" dxfId="26" priority="380" stopIfTrue="1">
      <formula>IF(FIND("!",R5),TRUE)</formula>
    </cfRule>
  </conditionalFormatting>
  <conditionalFormatting sqref="R268:R269">
    <cfRule type="expression" dxfId="25" priority="381" stopIfTrue="1">
      <formula>IF(AND(R268="",#REF!=$X$4),TRUE)</formula>
    </cfRule>
    <cfRule type="expression" dxfId="24" priority="382" stopIfTrue="1">
      <formula>IF(FIND("!",R268),TRUE)</formula>
    </cfRule>
  </conditionalFormatting>
  <dataValidations count="5">
    <dataValidation type="list" allowBlank="1" showInputMessage="1" showErrorMessage="1" sqref="B7:B2493">
      <formula1>Metal</formula1>
    </dataValidation>
    <dataValidation allowBlank="1" showErrorMessage="1" sqref="F7:G2493"/>
    <dataValidation type="list" showInputMessage="1" showErrorMessage="1" sqref="C7:C2493">
      <formula1>SN</formula1>
    </dataValidation>
    <dataValidation type="list" allowBlank="1" showInputMessage="1" showErrorMessage="1" sqref="E7:E2493">
      <formula1>CL</formula1>
    </dataValidation>
    <dataValidation type="list" allowBlank="1" showInputMessage="1" showErrorMessage="1" sqref="P7: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6" t="str">
        <f ca="1">OFFSET(L!$C$1,MATCH("Checker"&amp;ADDRESS(ROW(),COLUMN(),4),L!$A:$A,0)-1,SL,,)</f>
        <v>Um sicherzustellen, dass alle erforderlichen Felder vor dem Versand an ihren Kunden ausgefüllt sind, alle rot markierten Felder beachten.</v>
      </c>
      <c r="B1" s="446"/>
      <c r="C1" s="446"/>
      <c r="D1" s="150" t="str">
        <f ca="1">OFFSET(L!$C$1,MATCH("Checker"&amp;ADDRESS(ROW(),COLUMN(),4),L!$A:$A,0)-1,SL,,)</f>
        <v>Erforderliche Felder bitte vervollständigen.</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Erforderliche Felder</v>
      </c>
      <c r="B3" s="82" t="str">
        <f ca="1">OFFSET(L!$C$1,MATCH("Checker"&amp;ADDRESS(ROW(),COLUMN(),4),L!$A:$A,0)-1,SL,,)</f>
        <v>Antwort ist vorhanden</v>
      </c>
      <c r="C3" s="82" t="str">
        <f ca="1">OFFSET(L!$C$1,MATCH("Checker"&amp;ADDRESS(ROW(),COLUMN(),4),L!$A:$A,0)-1,SL,,)</f>
        <v>Notizen</v>
      </c>
      <c r="D3" s="82" t="str">
        <f ca="1">OFFSET(L!$C$1,MATCH("Checker"&amp;ADDRESS(ROW(),COLUMN(),4),L!$A:$A,0)-1,SL,,)</f>
        <v>Hyperlink zum Ursprung</v>
      </c>
      <c r="F3" s="83" t="s">
        <v>598</v>
      </c>
      <c r="G3" s="22" t="s">
        <v>597</v>
      </c>
      <c r="H3" s="22" t="s">
        <v>599</v>
      </c>
      <c r="I3" s="180" t="s">
        <v>1447</v>
      </c>
      <c r="J3" s="22" t="s">
        <v>1448</v>
      </c>
    </row>
    <row r="4" spans="1:10" ht="39">
      <c r="A4" s="106" t="str">
        <f ca="1">Declaration!B8</f>
        <v>Firmenname (*):</v>
      </c>
      <c r="B4" s="105" t="str">
        <f>Declaration!D8</f>
        <v>ODU GmbH &amp; Co. KG / ODU Automotive GmbH</v>
      </c>
      <c r="C4" s="105" t="str">
        <f t="shared" ref="C4:C9" ca="1" si="0">IF(H4=1,J4,I4)</f>
        <v>Vollständig</v>
      </c>
      <c r="D4" s="111" t="str">
        <f>IF(H4=1,"Click here to enter Company Name","")</f>
        <v/>
      </c>
      <c r="E4" s="87" t="s">
        <v>1437</v>
      </c>
      <c r="F4" s="109">
        <v>1</v>
      </c>
      <c r="G4" s="84">
        <f t="shared" ref="G4:G9" si="1">IF(B4=0,1,0)</f>
        <v>0</v>
      </c>
      <c r="H4" s="85">
        <f>F4*G4</f>
        <v>0</v>
      </c>
      <c r="I4" s="181" t="str">
        <f ca="1">OFFSET(L!$C$1,MATCH("Checker"&amp;"Comp",L!$A:$A,0)-1,SL,,)</f>
        <v>Vollständig</v>
      </c>
      <c r="J4" s="182" t="str">
        <f ca="1">OFFSET(L!$C$1,MATCH("Checker"&amp;ADDRESS(ROW(),COLUMN(),4),L!$A:$A,0)-1,SL,,)</f>
        <v>Geben Sie den Namen Ihres Unternehmens in der Reiterzelle D8 der Erklärung an</v>
      </c>
    </row>
    <row r="5" spans="1:10" ht="39">
      <c r="A5" s="106" t="str">
        <f ca="1">Declaration!B9</f>
        <v>Geltungsbereich der Erklärung (*):</v>
      </c>
      <c r="B5" s="105" t="str">
        <f>Declaration!D9</f>
        <v>A. Company</v>
      </c>
      <c r="C5" s="105" t="str">
        <f t="shared" ca="1" si="0"/>
        <v>Vollständig</v>
      </c>
      <c r="D5" s="111" t="str">
        <f>IF(H5=1,"Click here to enter Declaration Scope","")</f>
        <v/>
      </c>
      <c r="E5" s="87" t="s">
        <v>1437</v>
      </c>
      <c r="F5" s="109">
        <v>1</v>
      </c>
      <c r="G5" s="84">
        <f t="shared" si="1"/>
        <v>0</v>
      </c>
      <c r="H5" s="85">
        <f t="shared" ref="H5:H23" si="2">F5*G5</f>
        <v>0</v>
      </c>
      <c r="I5" s="181" t="str">
        <f ca="1">OFFSET(L!$C$1,MATCH("Checker"&amp;"Comp",L!$A:$A,0)-1,SL,,)</f>
        <v>Vollständig</v>
      </c>
      <c r="J5" s="182" t="str">
        <f ca="1">OFFSET(L!$C$1,MATCH("Checker"&amp;ADDRESS(ROW(),COLUMN(),4),L!$A:$A,0)-1,SL,,)</f>
        <v>Wählen Sie den Umfang der Erklärung in der Reiterzelle D9 der Erklärung aus</v>
      </c>
    </row>
    <row r="6" spans="1:10" ht="39">
      <c r="A6" s="106" t="str">
        <f ca="1">Declaration!B10</f>
        <v>Beschreibung des Geltungsbereichs</v>
      </c>
      <c r="B6" s="105">
        <f>Declaration!D10</f>
        <v>0</v>
      </c>
      <c r="C6" s="105" t="str">
        <f t="shared" ca="1" si="0"/>
        <v>Vollständig</v>
      </c>
      <c r="D6" s="111" t="str">
        <f>IF(H6=1,"Click here to provide a Description of Scope","")</f>
        <v/>
      </c>
      <c r="E6" s="87" t="s">
        <v>1437</v>
      </c>
      <c r="F6" s="110">
        <f>IF(OR(B5=Declaration!P9,B5=Declaration!Q9,B5=0),0,1)</f>
        <v>0</v>
      </c>
      <c r="G6" s="84">
        <f t="shared" si="1"/>
        <v>1</v>
      </c>
      <c r="H6" s="85">
        <f t="shared" si="2"/>
        <v>0</v>
      </c>
      <c r="I6" s="181" t="str">
        <f ca="1">OFFSET(L!$C$1,MATCH("Checker"&amp;"Comp",L!$A:$A,0)-1,SL,,)</f>
        <v>Vollständig</v>
      </c>
      <c r="J6" s="22" t="str">
        <f ca="1">OFFSET(L!$C$1,MATCH("Checker"&amp;ADDRESS(ROW(),COLUMN(),4),L!$A:$A,0)-1,SL,,)</f>
        <v>Geben Sie eine Beschreibung des Umfangs in der Reiterzelle D10 der Erklärung an</v>
      </c>
    </row>
    <row r="7" spans="1:10" ht="39">
      <c r="A7" s="106" t="str">
        <f ca="1">Declaration!B15</f>
        <v>Name des Ansprechpartners (*):</v>
      </c>
      <c r="B7" s="105" t="str">
        <f>Declaration!D15</f>
        <v>Ursula Lange</v>
      </c>
      <c r="C7" s="105" t="str">
        <f t="shared" ca="1" si="0"/>
        <v>Vollständig</v>
      </c>
      <c r="D7" s="111" t="str">
        <f>IF(H7=1,"Click here to enter Contact Name","")</f>
        <v/>
      </c>
      <c r="E7" s="87" t="s">
        <v>1437</v>
      </c>
      <c r="F7" s="153">
        <v>1</v>
      </c>
      <c r="G7" s="84">
        <f t="shared" si="1"/>
        <v>0</v>
      </c>
      <c r="H7" s="85">
        <f t="shared" si="2"/>
        <v>0</v>
      </c>
      <c r="I7" s="181" t="str">
        <f ca="1">OFFSET(L!$C$1,MATCH("Checker"&amp;"Comp",L!$A:$A,0)-1,SL,,)</f>
        <v>Vollständig</v>
      </c>
      <c r="J7" s="22" t="str">
        <f ca="1">OFFSET(L!$C$1,MATCH("Checker"&amp;ADDRESS(ROW(),COLUMN(),4),L!$A:$A,0)-1,SL,,)</f>
        <v>Geben Sie einen Kontaktnamen in der Reiterzelle D15 der Erklärung an</v>
      </c>
    </row>
    <row r="8" spans="1:10" ht="39">
      <c r="A8" s="106" t="str">
        <f ca="1">Declaration!B16</f>
        <v>E-Mail-Adresse des Ansprechpartners (*):</v>
      </c>
      <c r="B8" s="105" t="str">
        <f>Declaration!D16</f>
        <v>ursula.lange@odu.de</v>
      </c>
      <c r="C8" s="105" t="str">
        <f t="shared" ca="1" si="0"/>
        <v>Vollständig</v>
      </c>
      <c r="D8" s="111" t="str">
        <f>IF(H8=1,"Click here to enter Email-Contact","")</f>
        <v/>
      </c>
      <c r="E8" s="87" t="s">
        <v>1437</v>
      </c>
      <c r="F8" s="153">
        <v>1</v>
      </c>
      <c r="G8" s="84">
        <f>IF(ISNUMBER(SEARCH("@",B8)),0,1)</f>
        <v>0</v>
      </c>
      <c r="H8" s="85">
        <f t="shared" si="2"/>
        <v>0</v>
      </c>
      <c r="I8" s="181" t="str">
        <f ca="1">OFFSET(L!$C$1,MATCH("Checker"&amp;"Comp",L!$A:$A,0)-1,SL,,)</f>
        <v>Vollständig</v>
      </c>
      <c r="J8" s="22" t="str">
        <f ca="1">OFFSET(L!$C$1,MATCH("Checker"&amp;ADDRESS(ROW(),COLUMN(),4),L!$A:$A,0)-1,SL,,)</f>
        <v>Geben Sie eine gültige Kontakt-E-Mail-Adresse in der Reiterzelle D16 der Erklärung an</v>
      </c>
    </row>
    <row r="9" spans="1:10" ht="39">
      <c r="A9" s="106" t="str">
        <f ca="1">Declaration!B17</f>
        <v>Telefonnummer des Ansprechpartners (*):</v>
      </c>
      <c r="B9" s="105" t="str">
        <f>Declaration!D17</f>
        <v>+49 8631 6156 1620</v>
      </c>
      <c r="C9" s="105" t="str">
        <f t="shared" ca="1" si="0"/>
        <v>Vollständig</v>
      </c>
      <c r="D9" s="111" t="str">
        <f>IF(H9=1,"Click here to enter Phone-Contact","")</f>
        <v/>
      </c>
      <c r="E9" s="87" t="s">
        <v>1437</v>
      </c>
      <c r="F9" s="153">
        <v>1</v>
      </c>
      <c r="G9" s="84">
        <f t="shared" si="1"/>
        <v>0</v>
      </c>
      <c r="H9" s="85">
        <f t="shared" si="2"/>
        <v>0</v>
      </c>
      <c r="I9" s="181" t="str">
        <f ca="1">OFFSET(L!$C$1,MATCH("Checker"&amp;"Comp",L!$A:$A,0)-1,SL,,)</f>
        <v>Vollständig</v>
      </c>
      <c r="J9" s="22" t="str">
        <f ca="1">OFFSET(L!$C$1,MATCH("Checker"&amp;ADDRESS(ROW(),COLUMN(),4),L!$A:$A,0)-1,SL,,)</f>
        <v>Geben Sie eine Kontakttelefonnummer in der Reiterzelle D17 der Erklärung an</v>
      </c>
    </row>
    <row r="10" spans="1:10" ht="39">
      <c r="A10" s="106" t="str">
        <f ca="1">Declaration!B18</f>
        <v>Bevollmächtigter (*):</v>
      </c>
      <c r="B10" s="105" t="str">
        <f>Declaration!D18</f>
        <v>Christian Mannke</v>
      </c>
      <c r="C10" s="105" t="str">
        <f t="shared" ref="C10:C61" ca="1" si="3">IF(H10=1,J10,I10)</f>
        <v>Vollständig</v>
      </c>
      <c r="D10" s="111" t="str">
        <f>IF(H10=1,"Click here to enter an Authorized Company Representative's name","")</f>
        <v/>
      </c>
      <c r="E10" s="87" t="s">
        <v>1437</v>
      </c>
      <c r="F10" s="109">
        <v>1</v>
      </c>
      <c r="G10" s="84">
        <f t="shared" ref="G10:G23" si="4">IF(B10=0,1,0)</f>
        <v>0</v>
      </c>
      <c r="H10" s="85">
        <f t="shared" si="2"/>
        <v>0</v>
      </c>
      <c r="I10" s="181"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6" t="str">
        <f ca="1">Declaration!B20</f>
        <v>E-Mail-Adresse des Bevollmächtigten (*):</v>
      </c>
      <c r="B11" s="105" t="str">
        <f>Declaration!D20</f>
        <v>christian.mannke@odu.de</v>
      </c>
      <c r="C11" s="105" t="str">
        <f t="shared" ca="1" si="3"/>
        <v>Vollständig</v>
      </c>
      <c r="D11" s="111" t="str">
        <f>IF(H11=1,"Click here to enter Representative's email","")</f>
        <v/>
      </c>
      <c r="E11" s="87" t="s">
        <v>1437</v>
      </c>
      <c r="F11" s="109">
        <v>1</v>
      </c>
      <c r="G11" s="84">
        <f>IF(ISNUMBER(SEARCH("@",B11)),0,1)</f>
        <v>0</v>
      </c>
      <c r="H11" s="85">
        <f t="shared" si="2"/>
        <v>0</v>
      </c>
      <c r="I11" s="181"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6" t="str">
        <f ca="1">Declaration!B21</f>
        <v>Telefonnummer des Bevollmächtigten (*):</v>
      </c>
      <c r="B12" s="105" t="str">
        <f>Declaration!D21</f>
        <v>+49 8631 6156 1350</v>
      </c>
      <c r="C12" s="105" t="str">
        <f ca="1">IF(H12=1,J12,I12)</f>
        <v>Vollständig</v>
      </c>
      <c r="D12" s="111" t="str">
        <f>IF(H12=1,"Click here to enter Representative's phone","")</f>
        <v/>
      </c>
      <c r="E12" s="87" t="s">
        <v>1437</v>
      </c>
      <c r="F12" s="109">
        <v>1</v>
      </c>
      <c r="G12" s="84">
        <f>IF(B12=0,1,0)</f>
        <v>0</v>
      </c>
      <c r="H12" s="85">
        <f>F12*G12</f>
        <v>0</v>
      </c>
      <c r="I12" s="181" t="str">
        <f ca="1">OFFSET(L!$C$1,MATCH("Checker"&amp;"Comp",L!$A:$A,0)-1,SL,,)</f>
        <v>Vollständig</v>
      </c>
      <c r="J12" s="22" t="str">
        <f ca="1">OFFSET(L!$C$1,MATCH("Checker"&amp;ADDRESS(ROW(),COLUMN(),4),L!$A:$A,0)-1,SL,,)</f>
        <v>Geben Sie eine Telefonnummer eines bevollmächtigten Unternehmensvertreters in der Reiterzelle D21 der Erklärung an</v>
      </c>
    </row>
    <row r="13" spans="1:10" ht="39">
      <c r="A13" s="106" t="str">
        <f ca="1">Declaration!B22</f>
        <v>Datum (*):</v>
      </c>
      <c r="B13" s="107">
        <f>Declaration!D22</f>
        <v>44077</v>
      </c>
      <c r="C13" s="105" t="str">
        <f t="shared" ca="1" si="3"/>
        <v>Vollständig</v>
      </c>
      <c r="D13" s="111" t="str">
        <f>IF(H13=1,"Click here to enter Date of Completion","")</f>
        <v/>
      </c>
      <c r="E13" s="87" t="s">
        <v>1437</v>
      </c>
      <c r="F13" s="109">
        <v>1</v>
      </c>
      <c r="G13" s="84">
        <f t="shared" si="4"/>
        <v>0</v>
      </c>
      <c r="H13" s="85">
        <f t="shared" si="2"/>
        <v>0</v>
      </c>
      <c r="I13" s="181" t="str">
        <f ca="1">OFFSET(L!$C$1,MATCH("Checker"&amp;"Comp",L!$A:$A,0)-1,SL,,)</f>
        <v>Vollständig</v>
      </c>
      <c r="J13" s="22" t="str">
        <f ca="1">OFFSET(L!$C$1,MATCH("Checker"&amp;ADDRESS(ROW(),COLUMN(),4),L!$A:$A,0)-1,SL,,)</f>
        <v>Geben Sie das Datum der Vervollständigung des Formulars in der Reiterzelle D22 der Erklärung an</v>
      </c>
    </row>
    <row r="14" spans="1:10" ht="63.75">
      <c r="A14" s="105" t="str">
        <f ca="1">Declaration!B25</f>
        <v>1) Wird absichtlich ein 3TG-Mineral im Herstellungsprozess verwendet oder in das/die Produkt(e) aufgenommen? (*)</v>
      </c>
      <c r="B14" s="108"/>
      <c r="C14" s="108"/>
      <c r="D14" s="112"/>
      <c r="E14" s="87" t="s">
        <v>921</v>
      </c>
      <c r="F14" s="109"/>
      <c r="G14" s="24"/>
      <c r="H14" s="86">
        <f t="shared" si="2"/>
        <v>0</v>
      </c>
    </row>
    <row r="15" spans="1:10" ht="26.25">
      <c r="A15" s="106" t="str">
        <f ca="1">Declaration!B26</f>
        <v>Tantal  (*)</v>
      </c>
      <c r="B15" s="105" t="str">
        <f>Declaration!D26</f>
        <v>Yes</v>
      </c>
      <c r="C15" s="105" t="str">
        <f t="shared" ca="1" si="3"/>
        <v>Vollständig</v>
      </c>
      <c r="D15" s="111" t="str">
        <f>IF(H15=1,"Click here to answer question 1 for Tantalum","")</f>
        <v/>
      </c>
      <c r="E15" s="87" t="s">
        <v>917</v>
      </c>
      <c r="F15" s="109">
        <v>1</v>
      </c>
      <c r="G15" s="84">
        <f t="shared" si="4"/>
        <v>0</v>
      </c>
      <c r="H15" s="85">
        <f t="shared" si="2"/>
        <v>0</v>
      </c>
      <c r="I15" s="181" t="str">
        <f ca="1">OFFSET(L!$C$1,MATCH("Checker"&amp;"Comp",L!$A:$A,0)-1,SL,,)</f>
        <v>Vollständig</v>
      </c>
      <c r="J15" s="182" t="str">
        <f ca="1">OFFSET(L!$C$1,MATCH("Checker"&amp;ADDRESS(ROW(),COLUMN(),4),L!$A:$A,0)-1,SL,,)</f>
        <v>Erklären Sie in der Reiterzelle D26 der Erklärung, ob Tantalum Ihren Produkten absichtlich hinzugefügt wird</v>
      </c>
    </row>
    <row r="16" spans="1:10" ht="39">
      <c r="A16" s="106" t="str">
        <f ca="1">Declaration!B27</f>
        <v>Zinn  (*)</v>
      </c>
      <c r="B16" s="105" t="str">
        <f>Declaration!D27</f>
        <v>Yes</v>
      </c>
      <c r="C16" s="105" t="str">
        <f t="shared" ca="1" si="3"/>
        <v>Vollständig</v>
      </c>
      <c r="D16" s="111" t="str">
        <f>IF(H16=1,"Click here to answer question 1 for Tin","")</f>
        <v/>
      </c>
      <c r="E16" s="87" t="s">
        <v>918</v>
      </c>
      <c r="F16" s="109">
        <v>1</v>
      </c>
      <c r="G16" s="84">
        <f t="shared" si="4"/>
        <v>0</v>
      </c>
      <c r="H16" s="85">
        <f t="shared" si="2"/>
        <v>0</v>
      </c>
      <c r="I16" s="181" t="str">
        <f ca="1">OFFSET(L!$C$1,MATCH("Checker"&amp;"Comp",L!$A:$A,0)-1,SL,,)</f>
        <v>Vollständig</v>
      </c>
      <c r="J16" s="182" t="str">
        <f ca="1">OFFSET(L!$C$1,MATCH("Checker"&amp;ADDRESS(ROW(),COLUMN(),4),L!$A:$A,0)-1,SL,,)</f>
        <v>Erklären Sie in der Reiterzelle D27 der Erklärung, ob Zinn Ihren Produkten absichtlich hinzugefügt wird</v>
      </c>
    </row>
    <row r="17" spans="1:10" ht="39">
      <c r="A17" s="106" t="str">
        <f ca="1">Declaration!B28</f>
        <v>Gold  (*)</v>
      </c>
      <c r="B17" s="105" t="str">
        <f>Declaration!D28</f>
        <v>Yes</v>
      </c>
      <c r="C17" s="105" t="str">
        <f t="shared" ca="1" si="3"/>
        <v>Vollständig</v>
      </c>
      <c r="D17" s="111" t="str">
        <f>IF(H17=1,"Click here to answer question 1 for Gold","")</f>
        <v/>
      </c>
      <c r="E17" s="87" t="s">
        <v>918</v>
      </c>
      <c r="F17" s="109">
        <v>1</v>
      </c>
      <c r="G17" s="84">
        <f t="shared" si="4"/>
        <v>0</v>
      </c>
      <c r="H17" s="85">
        <f t="shared" si="2"/>
        <v>0</v>
      </c>
      <c r="I17" s="181" t="str">
        <f ca="1">OFFSET(L!$C$1,MATCH("Checker"&amp;"Comp",L!$A:$A,0)-1,SL,,)</f>
        <v>Vollständig</v>
      </c>
      <c r="J17" s="182" t="str">
        <f ca="1">OFFSET(L!$C$1,MATCH("Checker"&amp;ADDRESS(ROW(),COLUMN(),4),L!$A:$A,0)-1,SL,,)</f>
        <v>Erklären Sie in der Reiterzelle D28 der Erklärung, ob Gold Ihren Produkten absichtlich hinzugefügt wird</v>
      </c>
    </row>
    <row r="18" spans="1:10" ht="39">
      <c r="A18" s="106" t="str">
        <f ca="1">Declaration!B29</f>
        <v>Wolfram  (*)</v>
      </c>
      <c r="B18" s="105" t="str">
        <f>Declaration!D29</f>
        <v>Yes</v>
      </c>
      <c r="C18" s="105" t="str">
        <f t="shared" ca="1" si="3"/>
        <v>Vollständig</v>
      </c>
      <c r="D18" s="111" t="str">
        <f>IF(H18=1,"Click here to answer question 1 for Tungsten","")</f>
        <v/>
      </c>
      <c r="E18" s="87" t="s">
        <v>918</v>
      </c>
      <c r="F18" s="109">
        <v>1</v>
      </c>
      <c r="G18" s="84">
        <f t="shared" si="4"/>
        <v>0</v>
      </c>
      <c r="H18" s="85">
        <f t="shared" si="2"/>
        <v>0</v>
      </c>
      <c r="I18" s="181" t="str">
        <f ca="1">OFFSET(L!$C$1,MATCH("Checker"&amp;"Comp",L!$A:$A,0)-1,SL,,)</f>
        <v>Vollständig</v>
      </c>
      <c r="J18" s="182" t="str">
        <f ca="1">OFFSET(L!$C$1,MATCH("Checker"&amp;ADDRESS(ROW(),COLUMN(),4),L!$A:$A,0)-1,SL,,)</f>
        <v>Erklären Sie in der Reiterzelle D29 der Erklärung, ob Tungsten Ihren Produkten absichtlich hinzugefügt wird</v>
      </c>
    </row>
    <row r="19" spans="1:10" ht="51">
      <c r="A19" s="105" t="str">
        <f ca="1">Declaration!B31</f>
        <v>2) Liegen in dem/den Produkt(en) 3TG-Rückstände vor?  (*)</v>
      </c>
      <c r="B19" s="108"/>
      <c r="C19" s="108"/>
      <c r="D19" s="112"/>
      <c r="E19" s="87" t="s">
        <v>919</v>
      </c>
      <c r="F19" s="109"/>
      <c r="G19" s="24"/>
      <c r="H19" s="24"/>
      <c r="J19" s="182"/>
    </row>
    <row r="20" spans="1:10" ht="39">
      <c r="A20" s="106" t="str">
        <f ca="1">Declaration!B32</f>
        <v>Tantal  (*)</v>
      </c>
      <c r="B20" s="105" t="str">
        <f>IF($B$15="Yes",Declaration!D32,0)</f>
        <v>Yes</v>
      </c>
      <c r="C20" s="105" t="str">
        <f t="shared" ca="1" si="3"/>
        <v>Vollständig</v>
      </c>
      <c r="D20" s="113" t="str">
        <f>IF(H20=1,"Click here to answer question 2 for Tantalum","")</f>
        <v/>
      </c>
      <c r="E20" s="87" t="s">
        <v>918</v>
      </c>
      <c r="F20" s="110">
        <f>IF(B$15="No",0,1)</f>
        <v>1</v>
      </c>
      <c r="G20" s="84">
        <f t="shared" si="4"/>
        <v>0</v>
      </c>
      <c r="H20" s="85">
        <f t="shared" si="2"/>
        <v>0</v>
      </c>
      <c r="I20" s="181" t="str">
        <f ca="1">OFFSET(L!$C$1,MATCH("Checker"&amp;"Comp",L!$A:$A,0)-1,SL,,)</f>
        <v>Vollständig</v>
      </c>
      <c r="J20" s="182" t="str">
        <f ca="1">OFFSET(L!$C$1,MATCH("Checker"&amp;ADDRESS(ROW(),COLUMN(),4),L!$A:$A,0)-1,SL,,)</f>
        <v>Erklären Sie in der Reiterzelle D32 der Erklärung, ob Tantalum für die Herstellung Ihrer Produkte erforderlich ist und ob es in den angegebenen Endprodukten enthalten ist</v>
      </c>
    </row>
    <row r="21" spans="1:10" ht="39">
      <c r="A21" s="106" t="str">
        <f ca="1">Declaration!B33</f>
        <v>Zinn  (*)</v>
      </c>
      <c r="B21" s="105" t="str">
        <f>IF($B$16="Yes",Declaration!D33,0)</f>
        <v>Yes</v>
      </c>
      <c r="C21" s="105" t="str">
        <f t="shared" ca="1" si="3"/>
        <v>Vollständig</v>
      </c>
      <c r="D21" s="113" t="str">
        <f>IF(H21=1,"Click here to answer question 2 for Tin","")</f>
        <v/>
      </c>
      <c r="E21" s="87" t="s">
        <v>918</v>
      </c>
      <c r="F21" s="110">
        <f>IF(B$16="No",0,1)</f>
        <v>1</v>
      </c>
      <c r="G21" s="84">
        <f t="shared" si="4"/>
        <v>0</v>
      </c>
      <c r="H21" s="85">
        <f t="shared" si="2"/>
        <v>0</v>
      </c>
      <c r="I21" s="181" t="str">
        <f ca="1">OFFSET(L!$C$1,MATCH("Checker"&amp;"Comp",L!$A:$A,0)-1,SL,,)</f>
        <v>Vollständig</v>
      </c>
      <c r="J21" s="182" t="str">
        <f ca="1">OFFSET(L!$C$1,MATCH("Checker"&amp;ADDRESS(ROW(),COLUMN(),4),L!$A:$A,0)-1,SL,,)</f>
        <v>Erklären Sie in der Reiterzelle D33 der Erklärung, ob Zinn für die Herstellung Ihrer Produkte erforderlich ist und ob es in den angegebenen Endprodukten enthalten ist</v>
      </c>
    </row>
    <row r="22" spans="1:10" ht="39">
      <c r="A22" s="106" t="str">
        <f ca="1">Declaration!B34</f>
        <v>Gold  (*)</v>
      </c>
      <c r="B22" s="105" t="str">
        <f>IF($B$17="Yes",Declaration!D34,0)</f>
        <v>Yes</v>
      </c>
      <c r="C22" s="105" t="str">
        <f t="shared" ca="1" si="3"/>
        <v>Vollständig</v>
      </c>
      <c r="D22" s="113" t="str">
        <f>IF(H22=1,"Click here to answer question 2 for Gold","")</f>
        <v/>
      </c>
      <c r="E22" s="87" t="s">
        <v>918</v>
      </c>
      <c r="F22" s="110">
        <f>IF(B$17="No",0,1)</f>
        <v>1</v>
      </c>
      <c r="G22" s="84">
        <f t="shared" si="4"/>
        <v>0</v>
      </c>
      <c r="H22" s="85">
        <f t="shared" si="2"/>
        <v>0</v>
      </c>
      <c r="I22" s="181" t="str">
        <f ca="1">OFFSET(L!$C$1,MATCH("Checker"&amp;"Comp",L!$A:$A,0)-1,SL,,)</f>
        <v>Vollständig</v>
      </c>
      <c r="J22" s="182" t="str">
        <f ca="1">OFFSET(L!$C$1,MATCH("Checker"&amp;ADDRESS(ROW(),COLUMN(),4),L!$A:$A,0)-1,SL,,)</f>
        <v>Erklären Sie in der Reiterzelle D34 der Erklärung, ob Gold für die Herstellung Ihrer Produkte erforderlich ist und ob es in den angegebenen Endprodukten enthalten ist</v>
      </c>
    </row>
    <row r="23" spans="1:10" ht="39">
      <c r="A23" s="106" t="str">
        <f ca="1">Declaration!B35</f>
        <v>Wolfram  (*)</v>
      </c>
      <c r="B23" s="105" t="str">
        <f>IF($B$18="Yes",Declaration!D35,0)</f>
        <v>Yes</v>
      </c>
      <c r="C23" s="105" t="str">
        <f t="shared" ca="1" si="3"/>
        <v>Vollständig</v>
      </c>
      <c r="D23" s="113" t="str">
        <f>IF(H23=1,"Click here to answer question 2 for Tungsten","")</f>
        <v/>
      </c>
      <c r="E23" s="87" t="s">
        <v>918</v>
      </c>
      <c r="F23" s="110">
        <f>IF(B$18="No",0,1)</f>
        <v>1</v>
      </c>
      <c r="G23" s="84">
        <f t="shared" si="4"/>
        <v>0</v>
      </c>
      <c r="H23" s="85">
        <f t="shared" si="2"/>
        <v>0</v>
      </c>
      <c r="I23" s="181" t="str">
        <f ca="1">OFFSET(L!$C$1,MATCH("Checker"&amp;"Comp",L!$A:$A,0)-1,SL,,)</f>
        <v>Vollständig</v>
      </c>
      <c r="J23" s="182" t="str">
        <f ca="1">OFFSET(L!$C$1,MATCH("Checker"&amp;ADDRESS(ROW(),COLUMN(),4),L!$A:$A,0)-1,SL,,)</f>
        <v>Erklären Sie in der Reiterzelle D35 der Erklärung, ob Tungsten für die Herstellung Ihrer Produkte erforderlich ist und ob es in den angegebenen Endprodukten enthalten ist</v>
      </c>
    </row>
    <row r="24" spans="1:10" ht="57.75" customHeight="1">
      <c r="A24" s="105" t="str">
        <f ca="1">Declaration!B37</f>
        <v>3) Beschaffen Schmelzöfen in Ihrer Lieferkette das 3TG-Mineral aus den umfassten Ländern? (SEC-Begriff, siehe Definitions-Tab) (*)</v>
      </c>
      <c r="B24" s="108"/>
      <c r="C24" s="108"/>
      <c r="D24" s="112"/>
      <c r="E24" s="87" t="s">
        <v>918</v>
      </c>
      <c r="F24" s="109"/>
      <c r="G24" s="24"/>
      <c r="H24" s="24"/>
      <c r="J24" s="182"/>
    </row>
    <row r="25" spans="1:10" ht="39">
      <c r="A25" s="106" t="str">
        <f ca="1">Declaration!B38</f>
        <v>Tantal  (*)</v>
      </c>
      <c r="B25" s="105" t="str">
        <f>IF(AND($B$15="Yes",$B$20="Yes"),Declaration!D38,0)</f>
        <v>Yes</v>
      </c>
      <c r="C25" s="105" t="str">
        <f t="shared" ca="1" si="3"/>
        <v>Vollständig</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Vollständig</v>
      </c>
      <c r="J25"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6" spans="1:10" ht="39">
      <c r="A26" s="106" t="str">
        <f ca="1">Declaration!B39</f>
        <v>Zinn  (*)</v>
      </c>
      <c r="B26" s="105" t="str">
        <f>IF(AND($B$16="Yes",$B$21="Yes"),Declaration!D39,0)</f>
        <v>Yes</v>
      </c>
      <c r="C26" s="105" t="str">
        <f t="shared" ca="1" si="3"/>
        <v>Vollständig</v>
      </c>
      <c r="D26" s="113" t="str">
        <f>IF(H26=1,"Click here to answer question 3 for Tin","")</f>
        <v/>
      </c>
      <c r="E26" s="87" t="s">
        <v>918</v>
      </c>
      <c r="F26" s="110">
        <f>IF(OR(B16="No",B21="No"),0,1)</f>
        <v>1</v>
      </c>
      <c r="G26" s="84">
        <f t="shared" si="5"/>
        <v>0</v>
      </c>
      <c r="H26" s="85">
        <f t="shared" si="6"/>
        <v>0</v>
      </c>
      <c r="I26" s="181" t="str">
        <f ca="1">OFFSET(L!$C$1,MATCH("Checker"&amp;"Comp",L!$A:$A,0)-1,SL,,)</f>
        <v>Vollständig</v>
      </c>
      <c r="J26"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7" spans="1:10" ht="39">
      <c r="A27" s="106" t="str">
        <f ca="1">Declaration!B40</f>
        <v>Gold  (*)</v>
      </c>
      <c r="B27" s="105" t="str">
        <f>IF(AND($B$17="Yes",$B$22="Yes"),Declaration!D40,0)</f>
        <v>Unknown</v>
      </c>
      <c r="C27" s="105" t="str">
        <f t="shared" ca="1" si="3"/>
        <v>Vollständig</v>
      </c>
      <c r="D27" s="113" t="str">
        <f>IF(H27=1,"Click here to answer question 3 for Gold","")</f>
        <v/>
      </c>
      <c r="E27" s="87" t="s">
        <v>918</v>
      </c>
      <c r="F27" s="110">
        <f>IF(OR(B17="No",B22="No"),0,1)</f>
        <v>1</v>
      </c>
      <c r="G27" s="84">
        <f t="shared" si="5"/>
        <v>0</v>
      </c>
      <c r="H27" s="85">
        <f t="shared" si="6"/>
        <v>0</v>
      </c>
      <c r="I27" s="181" t="str">
        <f ca="1">OFFSET(L!$C$1,MATCH("Checker"&amp;"Comp",L!$A:$A,0)-1,SL,,)</f>
        <v>Vollständig</v>
      </c>
      <c r="J27"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8" spans="1:10" ht="39">
      <c r="A28" s="106" t="str">
        <f ca="1">Declaration!B41</f>
        <v>Wolfram  (*)</v>
      </c>
      <c r="B28" s="105" t="str">
        <f>IF(AND($B$18="Yes",$B$23="Yes"),Declaration!D41,0)</f>
        <v>Yes</v>
      </c>
      <c r="C28" s="105" t="str">
        <f t="shared" ca="1" si="3"/>
        <v>Vollständig</v>
      </c>
      <c r="D28" s="113" t="str">
        <f>IF(H28=1,"Click here to answer question 3 for Tungsten","")</f>
        <v/>
      </c>
      <c r="E28" s="87" t="s">
        <v>918</v>
      </c>
      <c r="F28" s="110">
        <f>IF(OR(B18="No",B23="No"),0,1)</f>
        <v>1</v>
      </c>
      <c r="G28" s="84">
        <f t="shared" si="5"/>
        <v>0</v>
      </c>
      <c r="H28" s="85">
        <f t="shared" si="6"/>
        <v>0</v>
      </c>
      <c r="I28" s="181" t="str">
        <f ca="1">OFFSET(L!$C$1,MATCH("Checker"&amp;"Comp",L!$A:$A,0)-1,SL,,)</f>
        <v>Vollständig</v>
      </c>
      <c r="J28"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9" spans="1:10" ht="38.25">
      <c r="A29" s="105" t="str">
        <f ca="1">Declaration!B43</f>
        <v>4) Stammt das für die Funktionalität oder  Herstellung Ihrer Produkte benötigte 3TG-Mineral zu 100 % aus Recycling- oder Schrottquellen?  (*)</v>
      </c>
      <c r="B29" s="108"/>
      <c r="C29" s="108"/>
      <c r="D29" s="112"/>
      <c r="E29" s="87" t="s">
        <v>1437</v>
      </c>
      <c r="F29" s="109"/>
      <c r="G29" s="24"/>
      <c r="H29" s="24"/>
      <c r="J29" s="182"/>
    </row>
    <row r="30" spans="1:10" ht="39">
      <c r="A30" s="106" t="str">
        <f ca="1">Declaration!B44</f>
        <v>Tantal  (*)</v>
      </c>
      <c r="B30" s="105" t="str">
        <f>IF(AND($B$15="Yes",$B$20="Yes"),Declaration!D44,0)</f>
        <v>No</v>
      </c>
      <c r="C30" s="105" t="str">
        <f ca="1">IF(H30=1,J30,I30)</f>
        <v>Vollständig</v>
      </c>
      <c r="D30" s="113" t="str">
        <f>IF(H30=1,"Click here to answer question 4 for Tantalum","")</f>
        <v/>
      </c>
      <c r="E30" s="87" t="s">
        <v>1437</v>
      </c>
      <c r="F30" s="110">
        <f>F25</f>
        <v>1</v>
      </c>
      <c r="G30" s="84">
        <f>IF(B30=0,1,0)</f>
        <v>0</v>
      </c>
      <c r="H30" s="85">
        <f>F30*G30</f>
        <v>0</v>
      </c>
      <c r="I30" s="181" t="str">
        <f ca="1">OFFSET(L!$C$1,MATCH("Checker"&amp;"Comp",L!$A:$A,0)-1,SL,,)</f>
        <v>Vollständig</v>
      </c>
      <c r="J30" s="182" t="str">
        <f ca="1">OFFSET(L!$C$1,MATCH("Checker"&amp;ADDRESS(ROW(),COLUMN(),4),L!$A:$A,0)-1,SL,,)</f>
        <v>Erklären Sie in der Reiterzelle D44 der Erklärung, ob innerhalb des Umfangs der in dieser Umfrage angegebenen Produkte verwendetes Tantalum vollständig aus Recycling oder Schrott stammt</v>
      </c>
    </row>
    <row r="31" spans="1:10" ht="39">
      <c r="A31" s="106" t="str">
        <f ca="1">Declaration!B45</f>
        <v>Zinn  (*)</v>
      </c>
      <c r="B31" s="105" t="str">
        <f>IF(AND($B$16="Yes",$B$21="Yes"),Declaration!D45,0)</f>
        <v>No</v>
      </c>
      <c r="C31" s="105" t="str">
        <f ca="1">IF(H31=1,J31,I31)</f>
        <v>Vollständig</v>
      </c>
      <c r="D31" s="113" t="str">
        <f>IF(H31=1,"Click here to answer question 4 for Tin","")</f>
        <v/>
      </c>
      <c r="E31" s="87" t="s">
        <v>1437</v>
      </c>
      <c r="F31" s="110">
        <f>F26</f>
        <v>1</v>
      </c>
      <c r="G31" s="84">
        <f>IF(B31=0,1,0)</f>
        <v>0</v>
      </c>
      <c r="H31" s="85">
        <f>F31*G31</f>
        <v>0</v>
      </c>
      <c r="I31" s="181" t="str">
        <f ca="1">OFFSET(L!$C$1,MATCH("Checker"&amp;"Comp",L!$A:$A,0)-1,SL,,)</f>
        <v>Vollständig</v>
      </c>
      <c r="J31" s="182" t="str">
        <f ca="1">OFFSET(L!$C$1,MATCH("Checker"&amp;ADDRESS(ROW(),COLUMN(),4),L!$A:$A,0)-1,SL,,)</f>
        <v>Erklären Sie in der Reiterzelle D45 der Erklärung, ob innerhalb des Umfangs der in dieser Umfrage angegebenen Produkte verwendetes Zinn vollständig aus Recycling oder Schrott stammt</v>
      </c>
    </row>
    <row r="32" spans="1:10" ht="39">
      <c r="A32" s="106" t="str">
        <f ca="1">Declaration!B46</f>
        <v>Gold  (*)</v>
      </c>
      <c r="B32" s="105" t="str">
        <f>IF(AND($B$17="Yes",$B$22="Yes"),Declaration!D46,0)</f>
        <v>No</v>
      </c>
      <c r="C32" s="105" t="str">
        <f ca="1">IF(H32=1,J32,I32)</f>
        <v>Vollständig</v>
      </c>
      <c r="D32" s="113" t="str">
        <f>IF(H32=1,"Click here to answer question 4 for Gold","")</f>
        <v/>
      </c>
      <c r="E32" s="87" t="s">
        <v>1437</v>
      </c>
      <c r="F32" s="110">
        <f>F27</f>
        <v>1</v>
      </c>
      <c r="G32" s="84">
        <f>IF(B32=0,1,0)</f>
        <v>0</v>
      </c>
      <c r="H32" s="85">
        <f>F32*G32</f>
        <v>0</v>
      </c>
      <c r="I32" s="181" t="str">
        <f ca="1">OFFSET(L!$C$1,MATCH("Checker"&amp;"Comp",L!$A:$A,0)-1,SL,,)</f>
        <v>Vollständig</v>
      </c>
      <c r="J32" s="182" t="str">
        <f ca="1">OFFSET(L!$C$1,MATCH("Checker"&amp;ADDRESS(ROW(),COLUMN(),4),L!$A:$A,0)-1,SL,,)</f>
        <v>Erklären Sie in der Reiterzelle D46 der Erklärung, ob innerhalb des Umfangs der in dieser Umfrage angegebenen Produkte verwendetes Gold vollständig aus Recycling oder Schrott stammt</v>
      </c>
    </row>
    <row r="33" spans="1:10" ht="39">
      <c r="A33" s="106" t="str">
        <f ca="1">Declaration!B47</f>
        <v>Wolfram  (*)</v>
      </c>
      <c r="B33" s="105" t="str">
        <f>IF(AND($B$18="Yes",$B$23="Yes"),Declaration!D47,0)</f>
        <v>No</v>
      </c>
      <c r="C33" s="105" t="str">
        <f ca="1">IF(H33=1,J33,I33)</f>
        <v>Vollständig</v>
      </c>
      <c r="D33" s="113" t="str">
        <f>IF(H33=1,"Click here to answer question 4 for Tungsten","")</f>
        <v/>
      </c>
      <c r="E33" s="87" t="s">
        <v>1437</v>
      </c>
      <c r="F33" s="110">
        <f>F28</f>
        <v>1</v>
      </c>
      <c r="G33" s="84">
        <f>IF(B33=0,1,0)</f>
        <v>0</v>
      </c>
      <c r="H33" s="85">
        <f>F33*G33</f>
        <v>0</v>
      </c>
      <c r="I33" s="181" t="str">
        <f ca="1">OFFSET(L!$C$1,MATCH("Checker"&amp;"Comp",L!$A:$A,0)-1,SL,,)</f>
        <v>Vollständig</v>
      </c>
      <c r="J33" s="182" t="str">
        <f ca="1">OFFSET(L!$C$1,MATCH("Checker"&amp;ADDRESS(ROW(),COLUMN(),4),L!$A:$A,0)-1,SL,,)</f>
        <v>Erklären Sie in der Reiterzelle D47 der Erklärung, ob innerhalb des Umfangs der in dieser Umfrage angegebenen Produkte verwendetes Tungsten vollständig aus Recycling oder Schrott stammt</v>
      </c>
    </row>
    <row r="34" spans="1:10" ht="38.25">
      <c r="A34" s="105" t="str">
        <f ca="1">Declaration!B49</f>
        <v>5) Wie hoch ist der Prozentsatz an Lieferanten, die auf Ihre Lieferkettenumfrage geantwortet haben? (*)</v>
      </c>
      <c r="B34" s="108"/>
      <c r="C34" s="108"/>
      <c r="D34" s="112"/>
      <c r="E34" s="87" t="s">
        <v>918</v>
      </c>
      <c r="F34" s="109"/>
      <c r="G34" s="24"/>
      <c r="H34" s="24"/>
    </row>
    <row r="35" spans="1:10" ht="26.25">
      <c r="A35" s="106" t="str">
        <f ca="1">Declaration!B50</f>
        <v>Tantal  (*)</v>
      </c>
      <c r="B35" s="105">
        <f>IF(AND($B$15="Yes",$B$20="Yes"),Declaration!D50,0)</f>
        <v>1</v>
      </c>
      <c r="C35" s="105" t="str">
        <f t="shared" ca="1" si="3"/>
        <v>Vollständig</v>
      </c>
      <c r="D35" s="111" t="str">
        <f>IF(H35=1,"Click here to answer question 5 for Tantalum","")</f>
        <v/>
      </c>
      <c r="E35" s="87" t="s">
        <v>917</v>
      </c>
      <c r="F35" s="110">
        <f>F25</f>
        <v>1</v>
      </c>
      <c r="G35" s="84">
        <f t="shared" si="5"/>
        <v>0</v>
      </c>
      <c r="H35" s="85">
        <f t="shared" si="6"/>
        <v>0</v>
      </c>
      <c r="I35" s="181" t="str">
        <f ca="1">OFFSET(L!$C$1,MATCH("Checker"&amp;"Comp",L!$A:$A,0)-1,SL,,)</f>
        <v>Vollständig</v>
      </c>
      <c r="J35" s="22" t="str">
        <f ca="1">OFFSET(L!$C$1,MATCH("Checker"&amp;ADDRESS(ROW(),COLUMN(),4),L!$A:$A,0)-1,SL,,)</f>
        <v>Geben Sie den Vollständigkeitsgrad der Schmelzofeninformationen des Anbieters in Prozent in der Reiterzelle D50 der Erklärung an</v>
      </c>
    </row>
    <row r="36" spans="1:10" ht="26.25">
      <c r="A36" s="106" t="str">
        <f ca="1">Declaration!B51</f>
        <v>Zinn  (*)</v>
      </c>
      <c r="B36" s="105">
        <f>IF(AND($B$16="Yes",$B$21="Yes"),Declaration!D51,0)</f>
        <v>1</v>
      </c>
      <c r="C36" s="105" t="str">
        <f ca="1">IF(H36=1,J36,I36)</f>
        <v>Vollständig</v>
      </c>
      <c r="D36" s="111" t="str">
        <f>IF(H36=1,"Click here to answer question 5 for Tin","")</f>
        <v/>
      </c>
      <c r="E36" s="87" t="s">
        <v>917</v>
      </c>
      <c r="F36" s="110">
        <f>F26</f>
        <v>1</v>
      </c>
      <c r="G36" s="84">
        <f t="shared" si="5"/>
        <v>0</v>
      </c>
      <c r="H36" s="85">
        <f t="shared" si="6"/>
        <v>0</v>
      </c>
      <c r="I36" s="181" t="str">
        <f ca="1">OFFSET(L!$C$1,MATCH("Checker"&amp;"Comp",L!$A:$A,0)-1,SL,,)</f>
        <v>Vollständig</v>
      </c>
      <c r="J36" s="22" t="str">
        <f ca="1">OFFSET(L!$C$1,MATCH("Checker"&amp;ADDRESS(ROW(),COLUMN(),4),L!$A:$A,0)-1,SL,,)</f>
        <v>Geben Sie den Vollständigkeitsgrad der Schmelzofeninformationen des Anbieters in Prozent in der Reiterzelle D51 der Erklärung an</v>
      </c>
    </row>
    <row r="37" spans="1:10" ht="26.25">
      <c r="A37" s="106" t="str">
        <f ca="1">Declaration!B52</f>
        <v>Gold  (*)</v>
      </c>
      <c r="B37" s="105">
        <f>IF(AND($B$17="Yes",$B$22="Yes"),Declaration!D52,0)</f>
        <v>1</v>
      </c>
      <c r="C37" s="105" t="str">
        <f t="shared" ca="1" si="3"/>
        <v>Vollständig</v>
      </c>
      <c r="D37" s="111" t="str">
        <f>IF(H37=1,"Click here to answer question 5 for Gold","")</f>
        <v/>
      </c>
      <c r="E37" s="87" t="s">
        <v>917</v>
      </c>
      <c r="F37" s="110">
        <f>F27</f>
        <v>1</v>
      </c>
      <c r="G37" s="84">
        <f t="shared" si="5"/>
        <v>0</v>
      </c>
      <c r="H37" s="85">
        <f t="shared" si="6"/>
        <v>0</v>
      </c>
      <c r="I37" s="181" t="str">
        <f ca="1">OFFSET(L!$C$1,MATCH("Checker"&amp;"Comp",L!$A:$A,0)-1,SL,,)</f>
        <v>Vollständig</v>
      </c>
      <c r="J37" s="22" t="str">
        <f ca="1">OFFSET(L!$C$1,MATCH("Checker"&amp;ADDRESS(ROW(),COLUMN(),4),L!$A:$A,0)-1,SL,,)</f>
        <v>Geben Sie den Vollständigkeitsgrad der Schmelzofeninformationen des Anbieters in Prozent in der Reiterzelle D52 der Erklärung an</v>
      </c>
    </row>
    <row r="38" spans="1:10" ht="26.25">
      <c r="A38" s="106" t="str">
        <f ca="1">Declaration!B53</f>
        <v>Wolfram  (*)</v>
      </c>
      <c r="B38" s="105">
        <f>IF(AND($B$18="Yes",$B$23="Yes"),Declaration!D53,0)</f>
        <v>1</v>
      </c>
      <c r="C38" s="105" t="str">
        <f t="shared" ca="1" si="3"/>
        <v>Vollständig</v>
      </c>
      <c r="D38" s="111" t="str">
        <f>IF(H38=1,"Click here to answer question 5 for Tungsten","")</f>
        <v/>
      </c>
      <c r="E38" s="87" t="s">
        <v>917</v>
      </c>
      <c r="F38" s="110">
        <f>F28</f>
        <v>1</v>
      </c>
      <c r="G38" s="84">
        <f t="shared" si="5"/>
        <v>0</v>
      </c>
      <c r="H38" s="85">
        <f t="shared" si="6"/>
        <v>0</v>
      </c>
      <c r="I38" s="181" t="str">
        <f ca="1">OFFSET(L!$C$1,MATCH("Checker"&amp;"Comp",L!$A:$A,0)-1,SL,,)</f>
        <v>Vollständig</v>
      </c>
      <c r="J38" s="22" t="str">
        <f ca="1">OFFSET(L!$C$1,MATCH("Checker"&amp;ADDRESS(ROW(),COLUMN(),4),L!$A:$A,0)-1,SL,,)</f>
        <v>Geben Sie den Vollständigkeitsgrad der Schmelzofeninformationen des Anbieters in Prozent in der Reiterzelle D53 der Erklärung an</v>
      </c>
    </row>
    <row r="39" spans="1:10" ht="51">
      <c r="A39" s="105" t="str">
        <f ca="1">Declaration!B55</f>
        <v>6) Haben Sie alle Schmelzhütten ermittelt, die das 3TG-Mineral für Ihre Lieferkette bereitstellen?  (*)</v>
      </c>
      <c r="B39" s="108"/>
      <c r="C39" s="108"/>
      <c r="D39" s="112"/>
      <c r="E39" s="87" t="s">
        <v>919</v>
      </c>
      <c r="F39" s="109"/>
      <c r="G39" s="24"/>
      <c r="H39" s="24"/>
    </row>
    <row r="40" spans="1:10" ht="51.75">
      <c r="A40" s="106" t="str">
        <f ca="1">Declaration!B56</f>
        <v>Tantal  (*)</v>
      </c>
      <c r="B40" s="105" t="str">
        <f>IF(AND($B$15="Yes",$B$20="Yes"),Declaration!D56,0)</f>
        <v>No</v>
      </c>
      <c r="C40" s="105" t="str">
        <f t="shared" ca="1" si="3"/>
        <v>Vollständig</v>
      </c>
      <c r="D40" s="113" t="str">
        <f>IF(H40=1,"Click here to answer question 6 for Tantalum","")</f>
        <v/>
      </c>
      <c r="E40" s="87" t="s">
        <v>1433</v>
      </c>
      <c r="F40" s="110">
        <f>F25</f>
        <v>1</v>
      </c>
      <c r="G40" s="84">
        <f t="shared" si="5"/>
        <v>0</v>
      </c>
      <c r="H40" s="85">
        <f t="shared" si="6"/>
        <v>0</v>
      </c>
      <c r="I40" s="181" t="str">
        <f ca="1">OFFSET(L!$C$1,MATCH("Checker"&amp;"Comp",L!$A:$A,0)-1,SL,,)</f>
        <v>Vollständig</v>
      </c>
      <c r="J40" s="22" t="str">
        <f ca="1">OFFSET(L!$C$1,MATCH("Checker"&amp;ADDRESS(ROW(),COLUMN(),4),L!$A:$A,0)-1,SL,,)</f>
        <v xml:space="preserve">Geben Sie in der Reiterzelle D56 der Erklärung an, ob alle Schmelzofennamen in der Antwort auf diese Umfrage im Umfang der angegebenen Produkte zur Verfügung gestellt worden sind </v>
      </c>
    </row>
    <row r="41" spans="1:10" ht="51.75">
      <c r="A41" s="106" t="str">
        <f ca="1">Declaration!B57</f>
        <v>Zinn  (*)</v>
      </c>
      <c r="B41" s="105" t="str">
        <f>IF(AND($B$16="Yes",$B$21="Yes"),Declaration!D57,0)</f>
        <v>No</v>
      </c>
      <c r="C41" s="105" t="str">
        <f t="shared" ca="1" si="3"/>
        <v>Vollständig</v>
      </c>
      <c r="D41" s="113" t="str">
        <f>IF(H41=1,"Click here to answer question 6 for Tin","")</f>
        <v/>
      </c>
      <c r="E41" s="87" t="s">
        <v>1433</v>
      </c>
      <c r="F41" s="110">
        <f>F26</f>
        <v>1</v>
      </c>
      <c r="G41" s="84">
        <f t="shared" si="5"/>
        <v>0</v>
      </c>
      <c r="H41" s="85">
        <f t="shared" si="6"/>
        <v>0</v>
      </c>
      <c r="I41" s="181" t="str">
        <f ca="1">OFFSET(L!$C$1,MATCH("Checker"&amp;"Comp",L!$A:$A,0)-1,SL,,)</f>
        <v>Vollständig</v>
      </c>
      <c r="J41" s="22" t="str">
        <f ca="1">OFFSET(L!$C$1,MATCH("Checker"&amp;ADDRESS(ROW(),COLUMN(),4),L!$A:$A,0)-1,SL,,)</f>
        <v xml:space="preserve">Geben Sie in der Reiterzelle D57 der Erklärung an, ob alle Schmelzofennamen in der Antwort auf diese Umfrage im Umfang der angegebenen Produkte zur Verfügung gestellt worden sind </v>
      </c>
    </row>
    <row r="42" spans="1:10" ht="51.75">
      <c r="A42" s="106" t="str">
        <f ca="1">Declaration!B58</f>
        <v>Gold  (*)</v>
      </c>
      <c r="B42" s="105" t="str">
        <f>IF(AND($B$17="Yes",$B$22="Yes"),Declaration!D58,0)</f>
        <v>No</v>
      </c>
      <c r="C42" s="105" t="str">
        <f t="shared" ca="1" si="3"/>
        <v>Vollständig</v>
      </c>
      <c r="D42" s="113" t="str">
        <f>IF(H42=1,"Click here to answer question 6 for Gold","")</f>
        <v/>
      </c>
      <c r="E42" s="87" t="s">
        <v>1433</v>
      </c>
      <c r="F42" s="110">
        <f>F27</f>
        <v>1</v>
      </c>
      <c r="G42" s="84">
        <f t="shared" si="5"/>
        <v>0</v>
      </c>
      <c r="H42" s="85">
        <f t="shared" si="6"/>
        <v>0</v>
      </c>
      <c r="I42" s="181" t="str">
        <f ca="1">OFFSET(L!$C$1,MATCH("Checker"&amp;"Comp",L!$A:$A,0)-1,SL,,)</f>
        <v>Vollständig</v>
      </c>
      <c r="J42" s="22" t="str">
        <f ca="1">OFFSET(L!$C$1,MATCH("Checker"&amp;ADDRESS(ROW(),COLUMN(),4),L!$A:$A,0)-1,SL,,)</f>
        <v xml:space="preserve">Geben Sie in der Reiterzelle D58 der Erklärung an, ob alle Schmelzofennamen in der Antwort auf diese Umfrage im Umfang der angegebenen Produkte zur Verfügung gestellt worden sind </v>
      </c>
    </row>
    <row r="43" spans="1:10" ht="51.75">
      <c r="A43" s="106" t="str">
        <f ca="1">Declaration!B59</f>
        <v>Wolfram  (*)</v>
      </c>
      <c r="B43" s="105" t="str">
        <f>IF(AND($B$18="Yes",$B$23="Yes"),Declaration!D59,0)</f>
        <v>No</v>
      </c>
      <c r="C43" s="105" t="str">
        <f t="shared" ca="1" si="3"/>
        <v>Vollständig</v>
      </c>
      <c r="D43" s="113" t="str">
        <f>IF(H43=1,"Click here to answer question 6 for Tungsten","")</f>
        <v/>
      </c>
      <c r="E43" s="87" t="s">
        <v>1433</v>
      </c>
      <c r="F43" s="110">
        <f>F28</f>
        <v>1</v>
      </c>
      <c r="G43" s="84">
        <f t="shared" si="5"/>
        <v>0</v>
      </c>
      <c r="H43" s="85">
        <f t="shared" si="6"/>
        <v>0</v>
      </c>
      <c r="I43" s="181" t="str">
        <f ca="1">OFFSET(L!$C$1,MATCH("Checker"&amp;"Comp",L!$A:$A,0)-1,SL,,)</f>
        <v>Vollständig</v>
      </c>
      <c r="J43" s="22" t="str">
        <f ca="1">OFFSET(L!$C$1,MATCH("Checker"&amp;ADDRESS(ROW(),COLUMN(),4),L!$A:$A,0)-1,SL,,)</f>
        <v xml:space="preserve">Geben Sie in der Reiterzelle D59 der Erklärung an, ob alle Schmelzofennamen in der Antwort auf diese Umfrage im Umfang der angegebenen Produkte zur Verfügung gestellt worden sind </v>
      </c>
    </row>
    <row r="44" spans="1:10" ht="63.75">
      <c r="A44" s="105" t="str">
        <f ca="1">Declaration!B61</f>
        <v>7) Haben Sie alle relevanten Informationen, die Ihr Unternehmen zu den Schmelzhütten erhalten hat, in dieser Erklärung aufgeführt?  (*)</v>
      </c>
      <c r="B44" s="108"/>
      <c r="C44" s="108"/>
      <c r="D44" s="112"/>
      <c r="E44" s="87" t="s">
        <v>920</v>
      </c>
      <c r="F44" s="109"/>
      <c r="G44" s="24"/>
      <c r="H44" s="24"/>
    </row>
    <row r="45" spans="1:10" ht="39">
      <c r="A45" s="106" t="str">
        <f ca="1">Declaration!B62</f>
        <v>Tantal  (*)</v>
      </c>
      <c r="B45" s="105" t="str">
        <f>IF(AND($B$15="Yes",$B$20="Yes"),Declaration!D62,0)</f>
        <v>Yes</v>
      </c>
      <c r="C45" s="105" t="str">
        <f t="shared" ca="1" si="3"/>
        <v>Vollständig</v>
      </c>
      <c r="D45" s="114" t="str">
        <f>IF(H45=1,"Click here to answer question 7 for Tantalum","")</f>
        <v/>
      </c>
      <c r="E45" s="87" t="s">
        <v>918</v>
      </c>
      <c r="F45" s="110">
        <f>F25</f>
        <v>1</v>
      </c>
      <c r="G45" s="84">
        <f t="shared" si="5"/>
        <v>0</v>
      </c>
      <c r="H45" s="85">
        <f t="shared" si="6"/>
        <v>0</v>
      </c>
      <c r="I45" s="181" t="str">
        <f ca="1">OFFSET(L!$C$1,MATCH("Checker"&amp;"Comp",L!$A:$A,0)-1,SL,,)</f>
        <v>Vollständig</v>
      </c>
      <c r="J45" s="22" t="str">
        <f ca="1">OFFSET(L!$C$1,MATCH("Checker"&amp;ADDRESS(ROW(),COLUMN(),4),L!$A:$A,0)-1,SL,,)</f>
        <v xml:space="preserve">Geben Sie in der Reiterzelle D62 der Erklärung an, ob alle Informationen über Tantalum-Schmelzöfen zur Verfügung gestellt worden sind </v>
      </c>
    </row>
    <row r="46" spans="1:10" ht="39">
      <c r="A46" s="106" t="str">
        <f ca="1">Declaration!B63</f>
        <v>Zinn  (*)</v>
      </c>
      <c r="B46" s="105" t="str">
        <f>IF(AND($B$16="Yes",$B$21="Yes"),Declaration!D63,0)</f>
        <v>Yes</v>
      </c>
      <c r="C46" s="105" t="str">
        <f t="shared" ca="1" si="3"/>
        <v>Vollständig</v>
      </c>
      <c r="D46" s="114" t="str">
        <f>IF(H46=1,"Click here to answer question 7 for Tin","")</f>
        <v/>
      </c>
      <c r="E46" s="87" t="s">
        <v>918</v>
      </c>
      <c r="F46" s="110">
        <f>F26</f>
        <v>1</v>
      </c>
      <c r="G46" s="84">
        <f t="shared" si="5"/>
        <v>0</v>
      </c>
      <c r="H46" s="85">
        <f t="shared" si="6"/>
        <v>0</v>
      </c>
      <c r="I46" s="181" t="str">
        <f ca="1">OFFSET(L!$C$1,MATCH("Checker"&amp;"Comp",L!$A:$A,0)-1,SL,,)</f>
        <v>Vollständig</v>
      </c>
      <c r="J46" s="22" t="str">
        <f ca="1">OFFSET(L!$C$1,MATCH("Checker"&amp;ADDRESS(ROW(),COLUMN(),4),L!$A:$A,0)-1,SL,,)</f>
        <v xml:space="preserve">Geben Sie in der Reiterzelle D63 der Erklärung an, ob alle Informationen über Zinn-Schmelzöfen zur Verfügung gestellt worden sind </v>
      </c>
    </row>
    <row r="47" spans="1:10" ht="39">
      <c r="A47" s="106" t="str">
        <f ca="1">Declaration!B64</f>
        <v>Gold  (*)</v>
      </c>
      <c r="B47" s="105" t="str">
        <f>IF(AND($B$17="Yes",$B$22="Yes"),Declaration!D64,0)</f>
        <v>Yes</v>
      </c>
      <c r="C47" s="105" t="str">
        <f t="shared" ca="1" si="3"/>
        <v>Vollständig</v>
      </c>
      <c r="D47" s="114" t="str">
        <f>IF(H47=1,"Click here to answer question 7 for Gold","")</f>
        <v/>
      </c>
      <c r="E47" s="87" t="s">
        <v>918</v>
      </c>
      <c r="F47" s="110">
        <f>F27</f>
        <v>1</v>
      </c>
      <c r="G47" s="84">
        <f t="shared" si="5"/>
        <v>0</v>
      </c>
      <c r="H47" s="85">
        <f t="shared" si="6"/>
        <v>0</v>
      </c>
      <c r="I47" s="181" t="str">
        <f ca="1">OFFSET(L!$C$1,MATCH("Checker"&amp;"Comp",L!$A:$A,0)-1,SL,,)</f>
        <v>Vollständig</v>
      </c>
      <c r="J47" s="22" t="str">
        <f ca="1">OFFSET(L!$C$1,MATCH("Checker"&amp;ADDRESS(ROW(),COLUMN(),4),L!$A:$A,0)-1,SL,,)</f>
        <v xml:space="preserve">Geben Sie in der Reiterzelle D64 der Erklärung an, ob alle Informationen über Gold-Schmelzöfen zur Verfügung gestellt worden sind </v>
      </c>
    </row>
    <row r="48" spans="1:10" ht="39">
      <c r="A48" s="106" t="str">
        <f ca="1">Declaration!B65</f>
        <v>Wolfram  (*)</v>
      </c>
      <c r="B48" s="105" t="str">
        <f>IF(AND($B$18="Yes",$B$23="Yes"),Declaration!D65,0)</f>
        <v>Yes</v>
      </c>
      <c r="C48" s="105" t="str">
        <f t="shared" ca="1" si="3"/>
        <v>Vollständig</v>
      </c>
      <c r="D48" s="114" t="str">
        <f>IF(H48=1,"Click here to answer question 7 for Tungsten","")</f>
        <v/>
      </c>
      <c r="E48" s="87" t="s">
        <v>918</v>
      </c>
      <c r="F48" s="110">
        <f>F28</f>
        <v>1</v>
      </c>
      <c r="G48" s="84">
        <f t="shared" si="5"/>
        <v>0</v>
      </c>
      <c r="H48" s="85">
        <f t="shared" si="6"/>
        <v>0</v>
      </c>
      <c r="I48" s="181" t="str">
        <f ca="1">OFFSET(L!$C$1,MATCH("Checker"&amp;"Comp",L!$A:$A,0)-1,SL,,)</f>
        <v>Vollständig</v>
      </c>
      <c r="J48" s="22" t="str">
        <f ca="1">OFFSET(L!$C$1,MATCH("Checker"&amp;ADDRESS(ROW(),COLUMN(),4),L!$A:$A,0)-1,SL,,)</f>
        <v xml:space="preserve">Geben Sie in der Reiterzelle D65 der Erklärung an, ob alle Informationen über Tungsten-Schmelzöfen zur Verfügung gestellt worden sind </v>
      </c>
    </row>
    <row r="49" spans="1:12" ht="25.5">
      <c r="A49" s="105" t="str">
        <f ca="1">Declaration!B68</f>
        <v>Frage</v>
      </c>
      <c r="B49" s="108"/>
      <c r="C49" s="108"/>
      <c r="D49" s="112"/>
      <c r="E49" s="87" t="s">
        <v>509</v>
      </c>
      <c r="F49" s="109"/>
      <c r="G49" s="109"/>
      <c r="H49" s="109"/>
    </row>
    <row r="50" spans="1:12" ht="39">
      <c r="A50" s="105" t="str">
        <f ca="1">Declaration!B69</f>
        <v>A. Haben Sie eine Beschaffungsrichtlinie für Konfliktmineralien aufgestellt? (*)</v>
      </c>
      <c r="B50" s="105" t="str">
        <f>Declaration!D69</f>
        <v>Yes</v>
      </c>
      <c r="C50" s="105" t="str">
        <f t="shared" ca="1" si="3"/>
        <v>Vollständig</v>
      </c>
      <c r="D50" s="111" t="str">
        <f>IF(H50=1,"Click here to answer question (A)","")</f>
        <v/>
      </c>
      <c r="E50" s="87" t="s">
        <v>1437</v>
      </c>
      <c r="F50" s="110">
        <f>IF(SUM(F$25:F$28)=0,0,1)</f>
        <v>1</v>
      </c>
      <c r="G50" s="84">
        <f t="shared" si="5"/>
        <v>0</v>
      </c>
      <c r="H50" s="85">
        <f t="shared" si="6"/>
        <v>0</v>
      </c>
      <c r="I50" s="181" t="str">
        <f ca="1">OFFSET(L!$C$1,MATCH("Checker"&amp;"Comp",L!$A:$A,0)-1,SL,,)</f>
        <v>Vollständig</v>
      </c>
      <c r="J50" s="22" t="str">
        <f ca="1">OFFSET(L!$C$1,MATCH("Checker"&amp;ADDRESS(ROW(),COLUMN(),4),L!$A:$A,0)-1,SL,,)</f>
        <v>Geben Sie in der Reiterzelle D69 der Erklärung an, ob Ihr Unternehmen eine Richtlinie zur DRC-konfliktfreien Beschaffung hat</v>
      </c>
    </row>
    <row r="51" spans="1:12" ht="54.75" customHeight="1">
      <c r="A51" s="105" t="str">
        <f ca="1">Declaration!B71</f>
        <v>B. Ist Ihre Richtlinie zur Beschaffung von Konfliktmineralien öffentlich auf ihrer Website verfügbar? (Hinweis: Wenn "Ja" geben Sie die URL im Feld "Kommentar" an.) (*)</v>
      </c>
      <c r="B51" s="105" t="str">
        <f>Declaration!D71</f>
        <v>No</v>
      </c>
      <c r="C51" s="105" t="str">
        <f t="shared" ca="1" si="3"/>
        <v>Vollständig</v>
      </c>
      <c r="D51" s="111" t="str">
        <f>IF(H51=1,"Click here to answer question (B)","")</f>
        <v/>
      </c>
      <c r="E51" s="87" t="s">
        <v>1437</v>
      </c>
      <c r="F51" s="110">
        <f t="shared" ref="F51:F60" si="7">F$50</f>
        <v>1</v>
      </c>
      <c r="G51" s="84">
        <f t="shared" si="5"/>
        <v>0</v>
      </c>
      <c r="H51" s="85">
        <f t="shared" si="6"/>
        <v>0</v>
      </c>
      <c r="I51" s="181" t="str">
        <f ca="1">OFFSET(L!$C$1,MATCH("Checker"&amp;"Comp",L!$A:$A,0)-1,SL,,)</f>
        <v>Vollständig</v>
      </c>
      <c r="J51" s="22" t="str">
        <f ca="1">OFFSET(L!$C$1,MATCH("Checker"&amp;ADDRESS(ROW(),COLUMN(),4),L!$A:$A,0)-1,SL,,)</f>
        <v>Geben Sie in der Reiterzelle D71 der Erklärung an, ob Ihr Unternehmen Ihre Richtlinie zur DRC-konfliktfreien Beschaffung auf Ihrer Website öffentlich verfügbar gemacht hat</v>
      </c>
    </row>
    <row r="52" spans="1:12" ht="38.450000000000003" customHeight="1">
      <c r="A52" s="105" t="s">
        <v>6</v>
      </c>
      <c r="B52" s="105">
        <f>Declaration!G71</f>
        <v>0</v>
      </c>
      <c r="C52" s="105" t="str">
        <f ca="1">IF(H52=1,J52,I52)</f>
        <v>Vollständig</v>
      </c>
      <c r="D52" s="111" t="str">
        <f>IF(H52=1,"Click here to specify URL for question (B)","")</f>
        <v/>
      </c>
      <c r="E52" s="87"/>
      <c r="F52" s="110">
        <f>IF(AND(F51=1,B51="Yes"),1,0)</f>
        <v>0</v>
      </c>
      <c r="G52" s="84">
        <f>IF(LEN(B52)&gt;1,0,1)</f>
        <v>1</v>
      </c>
      <c r="H52" s="85">
        <f t="shared" si="6"/>
        <v>0</v>
      </c>
      <c r="I52" s="181" t="str">
        <f ca="1">OFFSET(L!$C$1,MATCH("Checker"&amp;"Comp",L!$A:$A,0)-1,SL,,)</f>
        <v>Vollständig</v>
      </c>
      <c r="J52" s="174" t="str">
        <f ca="1">OFFSET(L!$C$1,MATCH("Checker"&amp;ADDRESS(ROW(),COLUMN(),4),L!$A:$A,0)-1,SL,,)</f>
        <v xml:space="preserve">Geben Sie in der Arbeitsblattzelle D71 der Erklärung den URL an, falls Sie Frage B mit „Ja“ beantworten. Das Format des URL sollte „www.companyname.com“ entsprechen </v>
      </c>
    </row>
    <row r="53" spans="1:12" ht="39">
      <c r="A53" s="105" t="str">
        <f ca="1">Declaration!B73</f>
        <v>C. Verlangen Sie von Ihren direkten Lieferanten, "DRC-konfliktfrei" zu sein? (*)</v>
      </c>
      <c r="B53" s="105" t="str">
        <f>Declaration!D73</f>
        <v>Yes</v>
      </c>
      <c r="C53" s="105" t="str">
        <f t="shared" ca="1" si="3"/>
        <v>Vollständig</v>
      </c>
      <c r="D53" s="111" t="str">
        <f>IF(H53=1,"Click here to answer question (C)","")</f>
        <v/>
      </c>
      <c r="E53" s="87" t="s">
        <v>1437</v>
      </c>
      <c r="F53" s="110">
        <f t="shared" si="7"/>
        <v>1</v>
      </c>
      <c r="G53" s="84">
        <f t="shared" si="5"/>
        <v>0</v>
      </c>
      <c r="H53" s="85">
        <f t="shared" si="6"/>
        <v>0</v>
      </c>
      <c r="I53" s="181" t="str">
        <f ca="1">OFFSET(L!$C$1,MATCH("Checker"&amp;"Comp",L!$A:$A,0)-1,SL,,)</f>
        <v>Vollständig</v>
      </c>
      <c r="J53" s="22" t="str">
        <f ca="1">OFFSET(L!$C$1,MATCH("Checker"&amp;ADDRESS(ROW(),COLUMN(),4),L!$A:$A,0)-1,SL,,)</f>
        <v>Geben Sie in der Reiterzelle D73 der Erklärung an, ob Sie Ihre Lieferanten zur DRC-konfliktfreien Beschaffung verpflichtet haben</v>
      </c>
    </row>
    <row r="54" spans="1:12" ht="51">
      <c r="A54" s="105" t="str">
        <f ca="1">Declaration!B75</f>
        <v>D. Verlangen Sie von Ihren direkten Lieferanten, das 3TG-Mineral ausschließlich von Schmelzhütten zu beziehen, deren Due-Diligence-Praktiken von einer unabhängigen Instanz überprüft wurden? (*)</v>
      </c>
      <c r="B54" s="105" t="str">
        <f>Declaration!D75</f>
        <v>No</v>
      </c>
      <c r="C54" s="105" t="str">
        <f ca="1">IF(H54=1,J54,I54)</f>
        <v>Vollständig</v>
      </c>
      <c r="D54" s="111" t="str">
        <f>IF(H54=1,"Click here to answer question (D)","")</f>
        <v/>
      </c>
      <c r="E54" s="87" t="s">
        <v>1437</v>
      </c>
      <c r="F54" s="110">
        <f t="shared" si="7"/>
        <v>1</v>
      </c>
      <c r="G54" s="84">
        <f t="shared" si="5"/>
        <v>0</v>
      </c>
      <c r="H54" s="85">
        <f t="shared" si="6"/>
        <v>0</v>
      </c>
      <c r="I54" s="181" t="str">
        <f ca="1">OFFSET(L!$C$1,MATCH("Checker"&amp;"Comp",L!$A:$A,0)-1,SL,,)</f>
        <v>Vollständig</v>
      </c>
      <c r="J54" s="22" t="str">
        <f ca="1">OFFSET(L!$C$1,MATCH("Checker"&amp;ADDRESS(ROW(),COLUMN(),4),L!$A:$A,0)-1,SL,,)</f>
        <v>Geben Sie in der Reiterzelle D75 der Erklärung an, ob Sie Ihre Lieferanten zur Beschaffung aus Schmelzöfen verpflichtet haben, die als DRC-konfliktfrei in der Liste der konformen Schmelzöfen des Responsible Minerals Assurance Process bestätigt worden sind</v>
      </c>
    </row>
    <row r="55" spans="1:12" ht="39">
      <c r="A55" s="105" t="str">
        <f ca="1">Declaration!B77</f>
        <v>E. Haben Sie angemesse Prüfmaßnahmen für konfliktfreie Beschaffung eingeführt? (*)</v>
      </c>
      <c r="B55" s="105" t="str">
        <f>Declaration!D77</f>
        <v>Yes</v>
      </c>
      <c r="C55" s="105" t="str">
        <f t="shared" ca="1" si="3"/>
        <v>Vollständig</v>
      </c>
      <c r="D55" s="111" t="str">
        <f>IF(H55=1,"Click here to answer question (E)","")</f>
        <v/>
      </c>
      <c r="E55" s="87" t="s">
        <v>1437</v>
      </c>
      <c r="F55" s="110">
        <f t="shared" si="7"/>
        <v>1</v>
      </c>
      <c r="G55" s="84">
        <f t="shared" si="5"/>
        <v>0</v>
      </c>
      <c r="H55" s="85">
        <f t="shared" si="6"/>
        <v>0</v>
      </c>
      <c r="I55" s="181" t="str">
        <f ca="1">OFFSET(L!$C$1,MATCH("Checker"&amp;"Comp",L!$A:$A,0)-1,SL,,)</f>
        <v>Vollständig</v>
      </c>
      <c r="J55" s="22" t="str">
        <f ca="1">OFFSET(L!$C$1,MATCH("Checker"&amp;ADDRESS(ROW(),COLUMN(),4),L!$A:$A,0)-1,SL,,)</f>
        <v>Geben Sie in der Reiterzelle D77 der Erklärung an, ob Sie Due-Diligence-Maßnahmen zur Beschaffung konfliktfreier Mineralien getroffen haben</v>
      </c>
    </row>
    <row r="56" spans="1:12" ht="39">
      <c r="A56" s="105" t="str">
        <f ca="1">Declaration!B79</f>
        <v>F. Veranstaltet Ihr Unternehmen (eine) Konfliktmineralienumfrage(n) mit seinen entsprechenden Lieferanten? (*)</v>
      </c>
      <c r="B56" s="105" t="str">
        <f>Declaration!D79</f>
        <v>Yes, using other format (describe)</v>
      </c>
      <c r="C56" s="105" t="str">
        <f t="shared" ca="1" si="3"/>
        <v>Vollständig</v>
      </c>
      <c r="D56" s="111" t="str">
        <f>IF(H56=1,"Click here to answer question (F)","")</f>
        <v/>
      </c>
      <c r="E56" s="87" t="s">
        <v>1437</v>
      </c>
      <c r="F56" s="110">
        <f t="shared" si="7"/>
        <v>1</v>
      </c>
      <c r="G56" s="84">
        <f t="shared" si="5"/>
        <v>0</v>
      </c>
      <c r="H56" s="85">
        <f t="shared" si="6"/>
        <v>0</v>
      </c>
      <c r="I56" s="181" t="str">
        <f ca="1">OFFSET(L!$C$1,MATCH("Checker"&amp;"Comp",L!$A:$A,0)-1,SL,,)</f>
        <v>Vollständig</v>
      </c>
      <c r="J56" s="22" t="str">
        <f ca="1">OFFSET(L!$C$1,MATCH("Checker"&amp;ADDRESS(ROW(),COLUMN(),4),L!$A:$A,0)-1,SL,,)</f>
        <v>Geben Sie in der Reiterzelle D79 der Erklärung an, ob Sie von Ihren Lieferanten verlangen, diese Vorlage zur Berichterstattung über Konfliktmineralien auszufüllen</v>
      </c>
    </row>
    <row r="57" spans="1:12" ht="15" hidden="1">
      <c r="A57" s="105"/>
      <c r="B57" s="105"/>
      <c r="C57" s="105"/>
      <c r="D57" s="111"/>
      <c r="E57" s="87"/>
      <c r="F57" s="110"/>
      <c r="G57" s="84"/>
      <c r="H57" s="85"/>
      <c r="I57" s="181"/>
    </row>
    <row r="58" spans="1:12" ht="39">
      <c r="A58" s="105" t="str">
        <f ca="1">Declaration!B81</f>
        <v>G. Überprüfen Sie die Due-Diligence-Informationen, die Sie von ihren Lieferanten erhalten, anhand der Erwartungen Ihres Unternehmens? (*)</v>
      </c>
      <c r="B58" s="105" t="str">
        <f>Declaration!D81</f>
        <v>No</v>
      </c>
      <c r="C58" s="105" t="str">
        <f t="shared" ca="1" si="3"/>
        <v>Vollständig</v>
      </c>
      <c r="D58" s="111" t="str">
        <f>IF(H58=1,"Click here to answer question (G)","")</f>
        <v/>
      </c>
      <c r="E58" s="87" t="s">
        <v>1437</v>
      </c>
      <c r="F58" s="110">
        <f t="shared" si="7"/>
        <v>1</v>
      </c>
      <c r="G58" s="84">
        <f t="shared" si="5"/>
        <v>0</v>
      </c>
      <c r="H58" s="85">
        <f t="shared" si="6"/>
        <v>0</v>
      </c>
      <c r="I58" s="181" t="str">
        <f ca="1">OFFSET(L!$C$1,MATCH("Checker"&amp;"Comp",L!$A:$A,0)-1,SL,,)</f>
        <v>Vollständig</v>
      </c>
      <c r="J58" s="22" t="str">
        <f ca="1">OFFSET(L!$C$1,MATCH("Checker"&amp;ADDRESS(ROW(),COLUMN(),4),L!$A:$A,0)-1,SL,,)</f>
        <v>Geben Sie in der Reiterzelle D83 der Erklärung an, ob Sie Antworten der Lieferanten auf die Anforderungen Ihres Unternehmens überprüfen</v>
      </c>
    </row>
    <row r="59" spans="1:12" ht="39">
      <c r="A59" s="105" t="str">
        <f ca="1">Declaration!B83</f>
        <v>H. Sieht Ihr Review-Prozess ein Korrekturmaßnahmen-Management vor? (*)</v>
      </c>
      <c r="B59" s="105" t="str">
        <f>Declaration!D83</f>
        <v>No</v>
      </c>
      <c r="C59" s="105" t="str">
        <f t="shared" ca="1" si="3"/>
        <v>Vollständig</v>
      </c>
      <c r="D59" s="111" t="str">
        <f>IF(H59=1,"Click here to answer question (H)","")</f>
        <v/>
      </c>
      <c r="E59" s="87" t="s">
        <v>1437</v>
      </c>
      <c r="F59" s="110">
        <f t="shared" si="7"/>
        <v>1</v>
      </c>
      <c r="G59" s="84">
        <f t="shared" si="5"/>
        <v>0</v>
      </c>
      <c r="H59" s="85">
        <f t="shared" si="6"/>
        <v>0</v>
      </c>
      <c r="I59" s="181" t="str">
        <f ca="1">OFFSET(L!$C$1,MATCH("Checker"&amp;"Comp",L!$A:$A,0)-1,SL,,)</f>
        <v>Vollständig</v>
      </c>
      <c r="J59" s="22" t="str">
        <f ca="1">OFFSET(L!$C$1,MATCH("Checker"&amp;ADDRESS(ROW(),COLUMN(),4),L!$A:$A,0)-1,SL,,)</f>
        <v>Geben Sie in der Reiterzelle D85 der Erklärung an, ob Ihr Prüfungsverfahren ein Abhilfemaßnahmen-Management umfasst</v>
      </c>
    </row>
    <row r="60" spans="1:12" ht="39">
      <c r="A60" s="105" t="str">
        <f ca="1">Declaration!B85</f>
        <v>I. Ist Ihr Unternehmen zu einer jährlichen Offenlegung der Konfliktmineralien gegenüber der SEC verpflichtet? (*)</v>
      </c>
      <c r="B60" s="105" t="str">
        <f>Declaration!D85</f>
        <v>No</v>
      </c>
      <c r="C60" s="105" t="str">
        <f t="shared" ca="1" si="3"/>
        <v>Vollständig</v>
      </c>
      <c r="D60" s="111" t="str">
        <f>IF(H60=1,"Click here to answer question (I)","")</f>
        <v/>
      </c>
      <c r="E60" s="87" t="s">
        <v>1437</v>
      </c>
      <c r="F60" s="110">
        <f t="shared" si="7"/>
        <v>1</v>
      </c>
      <c r="G60" s="84">
        <f t="shared" si="5"/>
        <v>0</v>
      </c>
      <c r="H60" s="85">
        <f t="shared" si="6"/>
        <v>0</v>
      </c>
      <c r="I60" s="181" t="str">
        <f ca="1">OFFSET(L!$C$1,MATCH("Checker"&amp;"Comp",L!$A:$A,0)-1,SL,,)</f>
        <v>Vollständig</v>
      </c>
      <c r="J60" s="22" t="str">
        <f ca="1">OFFSET(L!$C$1,MATCH("Checker"&amp;ADDRESS(ROW(),COLUMN(),4),L!$A:$A,0)-1,SL,,)</f>
        <v>Geben Sie in der Reiterzelle D87 der Erklärung an, ob Sie der Offenlegungspflicht gegenüber der SEC unterliegen</v>
      </c>
    </row>
    <row r="61" spans="1:12" ht="39">
      <c r="A61" s="106" t="s">
        <v>1385</v>
      </c>
      <c r="B61" s="105" t="str">
        <f>IF(G61=1,"No products or item numbers listed","One or more product / item numbers have been provided")</f>
        <v>No products or item numbers listed</v>
      </c>
      <c r="C61" s="105" t="str">
        <f t="shared" ca="1" si="3"/>
        <v>Vollständig</v>
      </c>
      <c r="D61" s="111" t="str">
        <f>IF(H61=1,"Click here to enter detail on Product List tab","")</f>
        <v/>
      </c>
      <c r="E61" s="87" t="s">
        <v>1437</v>
      </c>
      <c r="F61" s="110">
        <f>IF(B5=Declaration!Q9,1,0)</f>
        <v>0</v>
      </c>
      <c r="G61" s="84">
        <f>IF('Product List'!B6="",1,0)</f>
        <v>1</v>
      </c>
      <c r="H61" s="85">
        <f t="shared" si="6"/>
        <v>0</v>
      </c>
      <c r="I61" s="181" t="str">
        <f ca="1">OFFSET(L!$C$1,MATCH("Checker"&amp;"Comp",L!$A:$A,0)-1,SL,,)</f>
        <v>Vollständig</v>
      </c>
      <c r="J61" s="22" t="str">
        <f ca="1">OFFSET(L!$C$1,MATCH("Checker"&amp;ADDRESS(ROW(),COLUMN(),4),L!$A:$A,0)-1,SL,,)</f>
        <v>Nennen Sie ggf. ein oder mehr Produkte oder Gegenstandsnummern, auf die diese Erklärung anwendbar ist. Wählen Sie im Erklärungsreiter Hyperlink in Zelle 6H1, um den Reiter „Produktliste“ einzugeben</v>
      </c>
    </row>
    <row r="62" spans="1:12" ht="39">
      <c r="A62" s="105" t="s">
        <v>2116</v>
      </c>
      <c r="B62" s="105"/>
      <c r="C62" s="105" t="str">
        <f ca="1">IF(K62=1,L62,IF(B15="No","Not Required",IF(G62=0,I62,J62)))</f>
        <v>Vollständig</v>
      </c>
      <c r="D62" s="111" t="str">
        <f>IF(H62=0,"","Click here to provide smelter information")</f>
        <v/>
      </c>
      <c r="E62" s="87" t="s">
        <v>1437</v>
      </c>
      <c r="F62" s="110">
        <f>F25</f>
        <v>1</v>
      </c>
      <c r="G62" s="84">
        <f>IF(AND(COUNTIF(SmelterIdetifiedForMetal,"Tantalum")&gt;0,COUNTIF('Smelter List'!AB$5:AB$2493,"Tantalum?*")&gt;0),0,1)</f>
        <v>0</v>
      </c>
      <c r="H62" s="85">
        <f t="shared" si="6"/>
        <v>0</v>
      </c>
      <c r="I62" s="181" t="str">
        <f ca="1">OFFSET(L!$C$1,MATCH("Checker"&amp;"Comp",L!$A:$A,0)-1,SL,,)</f>
        <v>Vollständig</v>
      </c>
      <c r="J62" s="22" t="str">
        <f ca="1">OFFSET(L!$C$1,MATCH("Checker"&amp;ADDRESS(ROW(),COLUMN(),4),L!$A:$A,0)-1,SL,,)</f>
        <v xml:space="preserve">Geben Sie im Reiter „Schmelzöfenliste“ eine Liste von Tantalum-Schmelzöfen ein, die Material für die Lieferkette beitragen  </v>
      </c>
      <c r="K62" s="188">
        <f>IF(H15+H20&gt;0,1,0)</f>
        <v>0</v>
      </c>
      <c r="L62" s="22" t="str">
        <f ca="1">OFFSET(L!$C$1,MATCH("Checker"&amp;ADDRESS(ROW(),COLUMN(),4),L!$A:$A,0)-1,SL,,)</f>
        <v>Bitte beantworten Sie die Fragen 1 und 2 auf Erklärung Registerkarte</v>
      </c>
    </row>
    <row r="63" spans="1:12" ht="39">
      <c r="A63" s="105" t="s">
        <v>2117</v>
      </c>
      <c r="B63" s="105"/>
      <c r="C63" s="105" t="str">
        <f ca="1">IF(K63=1,L63,IF(B16="No","Not Required",IF(G63=0,I63,J63)))</f>
        <v>Vollständig</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Vollständig</v>
      </c>
      <c r="J63" s="22" t="str">
        <f ca="1">OFFSET(L!$C$1,MATCH("Checker"&amp;ADDRESS(ROW(),COLUMN(),4),L!$A:$A,0)-1,SL,,)</f>
        <v xml:space="preserve">Geben Sie im Reiter „Schmelzöfenliste“ eine Liste von Zinn-Schmelzöfen ein, die Material für die Lieferkette beitragen  </v>
      </c>
      <c r="K63" s="188">
        <f>IF(H16+H21&gt;0,1,0)</f>
        <v>0</v>
      </c>
      <c r="L63" s="22" t="str">
        <f ca="1">OFFSET(L!$C$1,MATCH("Checker"&amp;ADDRESS(ROW(),COLUMN(),4),L!$A:$A,0)-1,SL,,)</f>
        <v>Bitte beantworten Sie die Fragen 1 und 2 auf Erklärung Registerkarte</v>
      </c>
    </row>
    <row r="64" spans="1:12" ht="39">
      <c r="A64" s="105" t="s">
        <v>2118</v>
      </c>
      <c r="B64" s="105"/>
      <c r="C64" s="105" t="str">
        <f ca="1">IF(K64=1,L64,IF(B17="No","Not Required",IF(G64=0,I64,J64)))</f>
        <v>Vollständig</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Vollständig</v>
      </c>
      <c r="J64" s="22" t="str">
        <f ca="1">OFFSET(L!$C$1,MATCH("Checker"&amp;ADDRESS(ROW(),COLUMN(),4),L!$A:$A,0)-1,SL,,)</f>
        <v xml:space="preserve">Geben Sie im Reiter „Schmelzöfenliste“ eine Liste von Gold-Schmelzöfen ein, die Material für die Lieferkette beitragen  </v>
      </c>
      <c r="K64" s="188">
        <f>IF(H17+H22&gt;0,1,0)</f>
        <v>0</v>
      </c>
      <c r="L64" s="22" t="str">
        <f ca="1">OFFSET(L!$C$1,MATCH("Checker"&amp;ADDRESS(ROW(),COLUMN(),4),L!$A:$A,0)-1,SL,,)</f>
        <v>Bitte beantworten Sie die Fragen 1 und 2 auf Erklärung Registerkarte</v>
      </c>
    </row>
    <row r="65" spans="1:12" ht="39">
      <c r="A65" s="105" t="s">
        <v>2119</v>
      </c>
      <c r="B65" s="105"/>
      <c r="C65" s="105" t="str">
        <f ca="1">IF(K65=1,L65,IF(B18="No","Not Required",IF(G65=0,I65,J65)))</f>
        <v>Vollständig</v>
      </c>
      <c r="D65" s="111" t="str">
        <f>IF(H65=0,"","Click here to provide smelter information")</f>
        <v/>
      </c>
      <c r="E65" s="87" t="s">
        <v>918</v>
      </c>
      <c r="F65" s="110">
        <f>F28</f>
        <v>1</v>
      </c>
      <c r="G65" s="84">
        <f>IF(AND(COUNTIF(SmelterIdetifiedForMetal,"Tungsten")&gt;0,COUNTIF('Smelter List'!AB$5:AB$2493,"Tungsten?*")&gt;0),0,1)</f>
        <v>0</v>
      </c>
      <c r="H65" s="85">
        <f t="shared" si="6"/>
        <v>0</v>
      </c>
      <c r="I65" s="181" t="str">
        <f ca="1">OFFSET(L!$C$1,MATCH("Checker"&amp;"Comp",L!$A:$A,0)-1,SL,,)</f>
        <v>Vollständig</v>
      </c>
      <c r="J65" s="22" t="str">
        <f ca="1">OFFSET(L!$C$1,MATCH("Checker"&amp;ADDRESS(ROW(),COLUMN(),4),L!$A:$A,0)-1,SL,,)</f>
        <v xml:space="preserve">Geben Sie im Reiter „Schmelzöfenliste“ eine Liste von Tungsten-Schmelzöfen ein, die Material für die Lieferkette beitragen  </v>
      </c>
      <c r="K65" s="188">
        <f>IF(H18+H23&gt;0,1,0)</f>
        <v>0</v>
      </c>
      <c r="L65" s="22" t="str">
        <f ca="1">OFFSET(L!$C$1,MATCH("Checker"&amp;ADDRESS(ROW(),COLUMN(),4),L!$A:$A,0)-1,SL,,)</f>
        <v>Bitte beantworten Sie die Fragen 1 und 2 auf Erklärung Registerkarte</v>
      </c>
    </row>
    <row r="66" spans="1:12" ht="25.5">
      <c r="A66" s="195" t="s">
        <v>2984</v>
      </c>
      <c r="B66" s="105"/>
      <c r="C66" s="195" t="str">
        <f ca="1">IF(F66=0,J66,IF(G66=0,I66,L66))</f>
        <v>Vollständig</v>
      </c>
      <c r="D66" s="111"/>
      <c r="E66" s="87"/>
      <c r="F66" s="110">
        <f>IF(COUNTIF('Smelter List'!C7:C2493,"Smelter not listed")=0,0,1)</f>
        <v>1</v>
      </c>
      <c r="G66" s="84">
        <f ca="1">IF(OR(SUMPRODUCT(('Smelter List'!C7:C2493="Smelter not listed")*('Smelter List'!D7:D2493=""))&gt;0,SUMPRODUCT(('Smelter List'!C7:C2493="Smelter not listed")*('Smelter List'!E7:E2493=""))&gt;0),1,0)</f>
        <v>0</v>
      </c>
      <c r="H66" s="85">
        <f ca="1">F66*G66</f>
        <v>0</v>
      </c>
      <c r="I66" s="181" t="str">
        <f ca="1">OFFSET(L!$C$1,MATCH("Checker"&amp;"Comp",L!$A:$A,0)-1,SL,,)</f>
        <v>Vollständig</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baseColWidth="10"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8" t="str">
        <f ca="1">OFFSET(L!$C$1,MATCH("Product List"&amp;ADDRESS(ROW(),COLUMN(),4),L!$A:$A,0)-1,SL,,)</f>
        <v>Abschluss nur erforderlich, wenn die Ebene "Produkt (oder eine Liste von Produkten)" auf der "Erklärung" Arbeitsblatt ausgewählt wurde-</v>
      </c>
      <c r="B1" s="449"/>
      <c r="C1" s="449"/>
      <c r="D1" s="449"/>
      <c r="E1" s="149"/>
    </row>
    <row r="2" spans="1:6">
      <c r="A2" s="29"/>
      <c r="B2" s="151"/>
      <c r="C2" s="151"/>
      <c r="D2"/>
      <c r="E2" s="30"/>
    </row>
    <row r="3" spans="1:6">
      <c r="A3" s="29"/>
      <c r="B3" s="151"/>
      <c r="C3" s="151"/>
      <c r="D3" s="151"/>
      <c r="E3" s="30"/>
    </row>
    <row r="4" spans="1:6" ht="15.75" customHeight="1">
      <c r="A4" s="29"/>
      <c r="B4" s="447" t="s">
        <v>1014</v>
      </c>
      <c r="C4" s="447"/>
      <c r="D4" s="447"/>
      <c r="E4" s="30"/>
    </row>
    <row r="5" spans="1:6" ht="15.75">
      <c r="A5" s="164"/>
      <c r="B5" s="166" t="str">
        <f ca="1">OFFSET(L!$C$1,MATCH("Product List"&amp;ADDRESS(ROW(),COLUMN(),4),L!$A:$A,0)-1,SL,,)</f>
        <v>Produkt- oder Artikelnummer (*)</v>
      </c>
      <c r="C5" s="166" t="str">
        <f ca="1">OFFSET(L!$C$1,MATCH("Product List"&amp;ADDRESS(ROW(),COLUMN(),4),L!$A:$A,0)-1,SL,,)</f>
        <v>Produkt- oder Artikelbeschreibung</v>
      </c>
      <c r="D5" s="88" t="str">
        <f ca="1">OFFSET(L!$C$1,MATCH("Product List"&amp;ADDRESS(ROW(),COLUMN(),4),L!$A:$A,0)-1,SL,,)</f>
        <v>Kommentare</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50" t="str">
        <f ca="1">OFFSET(L!$C$1,MATCH("General"&amp;"Cpy",L!$A:$A,0)-1,SL,,)</f>
        <v>© 2019 Responsible Minerals Initiative. All rights reserved.</v>
      </c>
      <c r="C1001" s="450"/>
      <c r="D1001" s="450"/>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baseColWidth="10"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51"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28" customFormat="1" ht="51">
      <c r="A4" s="227" t="str">
        <f ca="1">OFFSET(L!$C$1,MATCH("Smelter Look-up"&amp;ADDRESS(ROW(),COLUMN(),4),L!$A:$A,0)-1,SL,,)</f>
        <v>Metall</v>
      </c>
      <c r="B4" s="227" t="str">
        <f ca="1">OFFSET(L!$C$1,MATCH("Smelter Look-up"&amp;ADDRESS(ROW(),COLUMN(),4),L!$A:$A,0)-1,SL,,)</f>
        <v>Schmelzofensuche (*)</v>
      </c>
      <c r="C4" s="227" t="str">
        <f ca="1">OFFSET(L!$C$1,MATCH("Smelter Look-up"&amp;ADDRESS(ROW(),COLUMN(),4),L!$A:$A,0)-1,SL,,)</f>
        <v>Standard Schmelzhütten Namen</v>
      </c>
      <c r="D4" s="227" t="str">
        <f ca="1">OFFSET(L!$C$1,MATCH("Smelter Look-up"&amp;ADDRESS(ROW(),COLUMN(),4),L!$A:$A,0)-1,SL,,)</f>
        <v>Schmelzhütte: Land</v>
      </c>
      <c r="E4" s="227" t="str">
        <f ca="1">OFFSET(L!$C$1,MATCH("Smelter Look-up"&amp;ADDRESS(ROW(),COLUMN(),4),L!$A:$A,0)-1,SL,,)</f>
        <v>Schmelzofen-ID</v>
      </c>
      <c r="F4" s="227" t="str">
        <f ca="1">OFFSET(L!$C$1,MATCH("Smelter Look-up"&amp;ADDRESS(ROW(),COLUMN(),4),L!$A:$A,0)-1,SL,,)</f>
        <v>Quelle der Schmelzhütte Id-Nummer</v>
      </c>
      <c r="G4" s="227" t="str">
        <f ca="1">OFFSET(L!$C$1,MATCH("Smelter Look-up"&amp;ADDRESS(ROW(),COLUMN(),4),L!$A:$A,0)-1,SL,,)</f>
        <v>Schmelzhütten: Straße</v>
      </c>
      <c r="H4" s="227" t="str">
        <f ca="1">OFFSET(L!$C$1,MATCH("Smelter Look-up"&amp;ADDRESS(ROW(),COLUMN(),4),L!$A:$A,0)-1,SL,,)</f>
        <v>Schmelzhütten: Stadt</v>
      </c>
      <c r="I4" s="227" t="str">
        <f ca="1">OFFSET(L!$C$1,MATCH("Smelter Look-up"&amp;ADDRESS(ROW(),COLUMN(),4),L!$A:$A,0)-1,SL,,)</f>
        <v>Schmelzhütten: Bundesland/Provinz</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baseColWidth="10"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6.7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84.75">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56.7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8.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28.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56.2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70.7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0">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7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8.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2.7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2.7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2.7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Preis Lisa</cp:lastModifiedBy>
  <cp:lastPrinted>2015-04-21T20:47:43Z</cp:lastPrinted>
  <dcterms:created xsi:type="dcterms:W3CDTF">2010-06-21T21:00:23Z</dcterms:created>
  <dcterms:modified xsi:type="dcterms:W3CDTF">2021-01-28T09:38:03Z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